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2.sz.mell." sheetId="1" r:id="rId1"/>
    <sheet name="3.sz.mell." sheetId="2" r:id="rId2"/>
    <sheet name="3a. sz.mell." sheetId="3" r:id="rId3"/>
    <sheet name="3b. sz. mell." sheetId="4" r:id="rId4"/>
    <sheet name="3c. sz.mell." sheetId="5" r:id="rId5"/>
    <sheet name="3d. sz.mell." sheetId="6" r:id="rId6"/>
    <sheet name="4.sz.mell." sheetId="7" r:id="rId7"/>
    <sheet name="5a.sz.mell." sheetId="8" r:id="rId8"/>
    <sheet name="5b.sz.mell." sheetId="9" r:id="rId9"/>
    <sheet name="5c.sz.mell." sheetId="10" r:id="rId10"/>
  </sheets>
  <definedNames>
    <definedName name="_xlnm.Print_Titles" localSheetId="0">'2.sz.mell.'!$1:$2</definedName>
    <definedName name="_xlnm.Print_Titles" localSheetId="1">'3.sz.mell.'!$1:$2</definedName>
    <definedName name="_xlnm.Print_Titles" localSheetId="2">'3a. sz.mell.'!$2:$4</definedName>
    <definedName name="_xlnm.Print_Area" localSheetId="0">'2.sz.mell.'!$A$1:$AE$182</definedName>
    <definedName name="_xlnm.Print_Area" localSheetId="1">'3.sz.mell.'!$A$1:$L$133</definedName>
    <definedName name="_xlnm.Print_Area" localSheetId="2">'3a. sz.mell.'!$A$1:$Q$20</definedName>
    <definedName name="_xlnm.Print_Area" localSheetId="4">'3c. sz.mell.'!$A$1:$E$24</definedName>
    <definedName name="_xlnm.Print_Area" localSheetId="9">'5c.sz.mell.'!$A$1:$E$50</definedName>
  </definedNames>
  <calcPr fullCalcOnLoad="1"/>
</workbook>
</file>

<file path=xl/sharedStrings.xml><?xml version="1.0" encoding="utf-8"?>
<sst xmlns="http://schemas.openxmlformats.org/spreadsheetml/2006/main" count="1414" uniqueCount="656">
  <si>
    <t>adatok ezer Ft-ban</t>
  </si>
  <si>
    <t>Intézmény</t>
  </si>
  <si>
    <t>Baranya</t>
  </si>
  <si>
    <t>Bács</t>
  </si>
  <si>
    <t>Békés</t>
  </si>
  <si>
    <t>Borsod</t>
  </si>
  <si>
    <t>Csongrád</t>
  </si>
  <si>
    <t>Fejér</t>
  </si>
  <si>
    <t>Győr</t>
  </si>
  <si>
    <t>Hajdú</t>
  </si>
  <si>
    <t>Heves</t>
  </si>
  <si>
    <t>Komárom</t>
  </si>
  <si>
    <t>Nógrád</t>
  </si>
  <si>
    <t>Főváros/ Pest</t>
  </si>
  <si>
    <t>Somogy</t>
  </si>
  <si>
    <t>Szabolcs</t>
  </si>
  <si>
    <t>Szolnok</t>
  </si>
  <si>
    <t>Tolna</t>
  </si>
  <si>
    <t>Vas</t>
  </si>
  <si>
    <t>Veszprém</t>
  </si>
  <si>
    <t>Zala</t>
  </si>
  <si>
    <t>Központ</t>
  </si>
  <si>
    <t>Összesen</t>
  </si>
  <si>
    <t>Vevők</t>
  </si>
  <si>
    <t>nyitó</t>
  </si>
  <si>
    <t>bek.érték</t>
  </si>
  <si>
    <t>értékveszt.</t>
  </si>
  <si>
    <t>mérlegérték</t>
  </si>
  <si>
    <t>záró</t>
  </si>
  <si>
    <t>Mérlegérték-változás</t>
  </si>
  <si>
    <t>Adósok</t>
  </si>
  <si>
    <t>Egyéb követelések</t>
  </si>
  <si>
    <t>Levélszám/Bizonylat</t>
  </si>
  <si>
    <t>Levélszám/ 
bizonylatszám</t>
  </si>
  <si>
    <t>Dátum</t>
  </si>
  <si>
    <t>Hatás-
kör</t>
  </si>
  <si>
    <t>Megnevezés</t>
  </si>
  <si>
    <t>Személyi
kiadások</t>
  </si>
  <si>
    <t>Munkaa.
terh.jár</t>
  </si>
  <si>
    <t>Dologi
kiad.</t>
  </si>
  <si>
    <t>Ellát.
pénzbeli
jutt.</t>
  </si>
  <si>
    <t>Előző évi működési célú ei.-maradv.
átadása</t>
  </si>
  <si>
    <t>Műk.célú
peszk.-átadás
ÁHT-n kív.</t>
  </si>
  <si>
    <t>Tám. 
értékű működési kiadások</t>
  </si>
  <si>
    <t>Felhalm. célú p.eszk.-átadás</t>
  </si>
  <si>
    <t>Tám. értékű felhalm. kiadások</t>
  </si>
  <si>
    <t>Felújítás</t>
  </si>
  <si>
    <t>Beruházás</t>
  </si>
  <si>
    <t>Közp. beruh.</t>
  </si>
  <si>
    <t>Előző évi felhalmozási célú ei.-maradvány átadása</t>
  </si>
  <si>
    <t>Kölcsönök nyújtása és törlesztése</t>
  </si>
  <si>
    <t>Kiadás
összesen</t>
  </si>
  <si>
    <t>Működési
bevétel</t>
  </si>
  <si>
    <t>Műk. célú pénze. átvétel,  bev. 
ÁHT-n kív.</t>
  </si>
  <si>
    <t>Tám. értékű műk. bev.</t>
  </si>
  <si>
    <t>Előző évi műk.célú ei.-mar.átv.</t>
  </si>
  <si>
    <t>Előző évi felhalm.célú ei.-mar.átvét.</t>
  </si>
  <si>
    <t>Felhalm.célú
peszk.átvét.
bev. ÁHT-n
kív.</t>
  </si>
  <si>
    <t>Támogatás értékű felhalmo-zási bev.</t>
  </si>
  <si>
    <t>Költségvetési támogatás</t>
  </si>
  <si>
    <t>Előző évi  ei.-mar. Igénybevét.</t>
  </si>
  <si>
    <t>Kölcsö-nök igényb. és vissza-tér.</t>
  </si>
  <si>
    <t>Bevétel Összesen</t>
  </si>
  <si>
    <t>Kontroll:</t>
  </si>
  <si>
    <t>47021/2007. (FVM)</t>
  </si>
  <si>
    <t>FVM 10037/1/2008</t>
  </si>
  <si>
    <t>01.14</t>
  </si>
  <si>
    <t>1</t>
  </si>
  <si>
    <t>Eredeti költségvetés</t>
  </si>
  <si>
    <t>EG-03I 1.</t>
  </si>
  <si>
    <t>01.08</t>
  </si>
  <si>
    <t>5</t>
  </si>
  <si>
    <t>Végszámla, légi felvételek (ortofotó)</t>
  </si>
  <si>
    <t>EG-03I 2.</t>
  </si>
  <si>
    <t>01.11</t>
  </si>
  <si>
    <t>Kiadás átcsoport.</t>
  </si>
  <si>
    <t>EG-03I 3.</t>
  </si>
  <si>
    <t>01.17</t>
  </si>
  <si>
    <t>Január összesen</t>
  </si>
  <si>
    <t>EG-03I 4.</t>
  </si>
  <si>
    <t>02.15</t>
  </si>
  <si>
    <t>2007. évi maradvány (erdész támogatás)</t>
  </si>
  <si>
    <t>FVM 10036/8/2008</t>
  </si>
  <si>
    <t>02.22</t>
  </si>
  <si>
    <t>2</t>
  </si>
  <si>
    <t>13. havi illetmény</t>
  </si>
  <si>
    <t>Február összesen</t>
  </si>
  <si>
    <t>EG-03I 5.</t>
  </si>
  <si>
    <t>03.20</t>
  </si>
  <si>
    <t>FVM 10310/1/2008</t>
  </si>
  <si>
    <t>03.25</t>
  </si>
  <si>
    <t>4</t>
  </si>
  <si>
    <t>Határon túli magyar gazdák támogatása</t>
  </si>
  <si>
    <t>FVM 10321/1/2008</t>
  </si>
  <si>
    <t>03.31</t>
  </si>
  <si>
    <t>Takarmánykódex</t>
  </si>
  <si>
    <t>Március összesen</t>
  </si>
  <si>
    <t>FVM 10178/3/2008</t>
  </si>
  <si>
    <t>04.04.</t>
  </si>
  <si>
    <t>4.</t>
  </si>
  <si>
    <t>Forrás biztosítása elmaradt bev. miatt. (febr.)</t>
  </si>
  <si>
    <t>EG-03I 6.</t>
  </si>
  <si>
    <t>04.15.</t>
  </si>
  <si>
    <t>5.</t>
  </si>
  <si>
    <t>2007. évi maradvány felh.(dologi+ber.)</t>
  </si>
  <si>
    <t>EG-03I 7.</t>
  </si>
  <si>
    <t>EG-03I 8.</t>
  </si>
  <si>
    <t>04.16.</t>
  </si>
  <si>
    <t>FVM 10178/5/2008</t>
  </si>
  <si>
    <t>04.21.</t>
  </si>
  <si>
    <t>Forrás biztosítása elmaradt bev. miatt.</t>
  </si>
  <si>
    <t>Április összesen</t>
  </si>
  <si>
    <t>FVM 10178/7/2009</t>
  </si>
  <si>
    <t>04.28.</t>
  </si>
  <si>
    <t>Forrás biztosítása elmaradt bev. miatt.(márc.)</t>
  </si>
  <si>
    <t>EG-03I 9.</t>
  </si>
  <si>
    <t>05.06.</t>
  </si>
  <si>
    <t>Kiadás átcsoport. (koreng. nyugdíj)</t>
  </si>
  <si>
    <t>EG-03I 10.</t>
  </si>
  <si>
    <t>Rontott</t>
  </si>
  <si>
    <t>05.13.</t>
  </si>
  <si>
    <t>ÁNTSZ-OÉTI átvétele, ei.-ok rendezése</t>
  </si>
  <si>
    <t>EG-03I 11.</t>
  </si>
  <si>
    <t>05.15.</t>
  </si>
  <si>
    <t>ATEV 2 havi elszámolás kifizetése</t>
  </si>
  <si>
    <t>EG-03I 12.</t>
  </si>
  <si>
    <t>05.20.</t>
  </si>
  <si>
    <t>Növeü.vizsg. ktgek térítése MVH-tól</t>
  </si>
  <si>
    <t>FVM 10408/2//2008</t>
  </si>
  <si>
    <t>05.26.</t>
  </si>
  <si>
    <t>2.</t>
  </si>
  <si>
    <t>PÉP I. negyedévi pótelőirányzat átadása</t>
  </si>
  <si>
    <t>FVM 1305/5/2008</t>
  </si>
  <si>
    <t>05.27.</t>
  </si>
  <si>
    <t>2008. évi illetményemelés támogatása</t>
  </si>
  <si>
    <t>Május összesen</t>
  </si>
  <si>
    <t>FVM 10526/2008</t>
  </si>
  <si>
    <t>05.30</t>
  </si>
  <si>
    <t>Szem. jutt.ei. feszültségek enyhítésére</t>
  </si>
  <si>
    <t>EG-03I 13.</t>
  </si>
  <si>
    <t>06.02.</t>
  </si>
  <si>
    <t>MVH 2007.évi teljesítésú TS fin.felad.</t>
  </si>
  <si>
    <t>EG-03I 14.</t>
  </si>
  <si>
    <t>MVH 2008.év 01-05.pü-i telj. feladatok</t>
  </si>
  <si>
    <t>EG-03I 15.</t>
  </si>
  <si>
    <t>06.03.</t>
  </si>
  <si>
    <t>2007. évi maradvány felhaszn. korrekció</t>
  </si>
  <si>
    <t>FVM 10407/5/2008</t>
  </si>
  <si>
    <t>06.04.</t>
  </si>
  <si>
    <t>2008.évi létszámleépítés tám. átadás</t>
  </si>
  <si>
    <t>FVM 10483/5/2008.</t>
  </si>
  <si>
    <t>06.06.</t>
  </si>
  <si>
    <t>Ei. mód (FVM-MTA megáll. Tomcsányi)</t>
  </si>
  <si>
    <t>FVM 10178/9/2008.</t>
  </si>
  <si>
    <t>06.10.</t>
  </si>
  <si>
    <t>Forrás biztosítása elmaradt bev. miatt.(ápr.)</t>
  </si>
  <si>
    <t>FVM 10561/1/2008.</t>
  </si>
  <si>
    <t>06.12.</t>
  </si>
  <si>
    <t>Ei. átadás EMMRE</t>
  </si>
  <si>
    <t>FVM 10617/1/2008.</t>
  </si>
  <si>
    <t>06.24.</t>
  </si>
  <si>
    <t>2008. évi keresetkiegészítés</t>
  </si>
  <si>
    <t>EG-03I 16.</t>
  </si>
  <si>
    <t>EG-03I 17.</t>
  </si>
  <si>
    <t>EG-03I 18.</t>
  </si>
  <si>
    <t>2008.év MVH-s szerz.-ek pü.-i teljesít.</t>
  </si>
  <si>
    <t>EG-03I 19.</t>
  </si>
  <si>
    <t>KSH búza növ.</t>
  </si>
  <si>
    <t>Állatszállítás elmaradt bev. (2007.)</t>
  </si>
  <si>
    <t>Állatszállítás elmaradt bev. (2008.)</t>
  </si>
  <si>
    <t>ÁDI 2007. évi szalmonella</t>
  </si>
  <si>
    <t>Növ.eü. vizsgálatok (március)</t>
  </si>
  <si>
    <t>Növ.eü. vizsgálatok (2007.12)</t>
  </si>
  <si>
    <t>OM-00170/2007. (Növ. és Kert. Ig.)</t>
  </si>
  <si>
    <t>EURO-Net (nyúl-Állatgy.Term Ig.)</t>
  </si>
  <si>
    <t>Fajtakísérleti hat. (Növ. és Kert. Ig.)</t>
  </si>
  <si>
    <t xml:space="preserve">Bor forgalombahoz. járulék </t>
  </si>
  <si>
    <t>EG-03I 20.</t>
  </si>
  <si>
    <t>ÁNTSZ - átvétel</t>
  </si>
  <si>
    <t>EG-03I 21.</t>
  </si>
  <si>
    <t>2007. évi telj. MVH (2008-ban befolyt)</t>
  </si>
  <si>
    <t>EG-03I 22.</t>
  </si>
  <si>
    <t>06.26.</t>
  </si>
  <si>
    <t xml:space="preserve">2008. évi telj. MVH </t>
  </si>
  <si>
    <t>Június összesen</t>
  </si>
  <si>
    <t>FVM10178/12/2008</t>
  </si>
  <si>
    <t>07.16.</t>
  </si>
  <si>
    <t>Forrás biztosítása elmaradt bev. miatt.(máj.)</t>
  </si>
  <si>
    <t>EG-03I 23.</t>
  </si>
  <si>
    <t>07.25.</t>
  </si>
  <si>
    <t>Maradvány-korrekció</t>
  </si>
  <si>
    <t>EG-03I 24.</t>
  </si>
  <si>
    <t>Július összesen</t>
  </si>
  <si>
    <t>EG-031 25.</t>
  </si>
  <si>
    <t>08.12.</t>
  </si>
  <si>
    <t>Beruházás-felújítás ei.átcsoportosítás</t>
  </si>
  <si>
    <t>FVM 10178/14/2008.</t>
  </si>
  <si>
    <t>08.13.</t>
  </si>
  <si>
    <t>Forrás biztosítása elmaradt bev. miatt.(jún.)</t>
  </si>
  <si>
    <t>FVM 10408/6/2008.</t>
  </si>
  <si>
    <t>08.14.</t>
  </si>
  <si>
    <t>PÉP 2008. II. negyedévi pótei. átadása</t>
  </si>
  <si>
    <t>FVM 1059/5/2008.</t>
  </si>
  <si>
    <t>08.15.</t>
  </si>
  <si>
    <t>Előrehozott öregségi nyugdíj átadása</t>
  </si>
  <si>
    <t>Forest Focus szabályozás bevezetése</t>
  </si>
  <si>
    <t>EG-031 26.</t>
  </si>
  <si>
    <t>08.18.</t>
  </si>
  <si>
    <t>Sertéspestis járvány (Nógrád)</t>
  </si>
  <si>
    <t>EG-031 27.</t>
  </si>
  <si>
    <t>08.22.</t>
  </si>
  <si>
    <t>Az MVH felkészítése az SPS alkalmazására</t>
  </si>
  <si>
    <t>FVM 10178/16/2008.</t>
  </si>
  <si>
    <t>08.28.</t>
  </si>
  <si>
    <t>Forrás biztosítása elmaradt bev. miatt (július)</t>
  </si>
  <si>
    <t>Augusztus összesen</t>
  </si>
  <si>
    <t>09.05.</t>
  </si>
  <si>
    <t>FVM 10178/18/2008.</t>
  </si>
  <si>
    <t>09.13.</t>
  </si>
  <si>
    <t>Forrás biztosítása elmaradt bev. Miatt (aug.)</t>
  </si>
  <si>
    <t>09.24.</t>
  </si>
  <si>
    <t>09.30.</t>
  </si>
  <si>
    <t>Szeptember összesen</t>
  </si>
  <si>
    <t>EG-031 28.</t>
  </si>
  <si>
    <t>10.09.</t>
  </si>
  <si>
    <t>Sertéspestis szim. gyak.</t>
  </si>
  <si>
    <t>OMMI 2006.évi ter.alapú tám.</t>
  </si>
  <si>
    <t>Növ.eü.vizsg.</t>
  </si>
  <si>
    <t>Békés pályázat (Interreg HU-RO)</t>
  </si>
  <si>
    <t>Fejér pályázat (OMFB, Jedlik Ányos)</t>
  </si>
  <si>
    <t>10.14.</t>
  </si>
  <si>
    <t>Élelmiszerbizt. int. háttérfejl.</t>
  </si>
  <si>
    <t>FVM 10835/3/2008.</t>
  </si>
  <si>
    <t>10.21.</t>
  </si>
  <si>
    <t>Informatikai fejlesztés</t>
  </si>
  <si>
    <t>FVM 10178/20/2008.</t>
  </si>
  <si>
    <t>10.27.</t>
  </si>
  <si>
    <t>Forrás biztosítása elmaradt bev. miatt.(szept.)</t>
  </si>
  <si>
    <t>Október összesen</t>
  </si>
  <si>
    <t>EG-031 29.</t>
  </si>
  <si>
    <t>10.30.</t>
  </si>
  <si>
    <t>FVM 10844/3/2008.</t>
  </si>
  <si>
    <t>ÁNTSZ 104 fő ill.többlet. (szerk.vált.)</t>
  </si>
  <si>
    <t>EG-031 30.</t>
  </si>
  <si>
    <t>11.05.</t>
  </si>
  <si>
    <t>EMMRE 2008. évi EU-s megtérítés</t>
  </si>
  <si>
    <t>Pályakezdő diplomások öszt. fogl.</t>
  </si>
  <si>
    <t>EG-031 31.</t>
  </si>
  <si>
    <t>11.06.</t>
  </si>
  <si>
    <t>EG-031 32.</t>
  </si>
  <si>
    <t>Növ.eü.vizsg. (aug.)</t>
  </si>
  <si>
    <t>FVM célfeladatok (10939/1/8)</t>
  </si>
  <si>
    <t>Szalmonella megyei oltóanyag</t>
  </si>
  <si>
    <t>EG-031 33.</t>
  </si>
  <si>
    <t>11.10.</t>
  </si>
  <si>
    <t>KTK rendezés</t>
  </si>
  <si>
    <t>FVM 10408/10/2008.</t>
  </si>
  <si>
    <t>11.13.</t>
  </si>
  <si>
    <t>PÉP III. negyedévi pótelőirányzat átadása</t>
  </si>
  <si>
    <t>FVM 10617/9/2008.</t>
  </si>
  <si>
    <t>2008. évi keresetkiegészítés elszámolása</t>
  </si>
  <si>
    <t>11.17.</t>
  </si>
  <si>
    <t>Állatszállítás 2007. megyei leutalás</t>
  </si>
  <si>
    <t>EG-031 34.</t>
  </si>
  <si>
    <t>2008. évi telj. MVH (+Főv. kártérítés)</t>
  </si>
  <si>
    <t>Csongrád GVOP-3. pályázat</t>
  </si>
  <si>
    <t>Csongrád EU DIABR-ACT pályázat</t>
  </si>
  <si>
    <t>Sertéspestis kiadások (Heves és ÁDI)</t>
  </si>
  <si>
    <t>FVM 10617/11/2008.</t>
  </si>
  <si>
    <t>11.19.</t>
  </si>
  <si>
    <t>2008. évi keresetkiegészítés II. ütem</t>
  </si>
  <si>
    <t>Bankkivonat (ikt.sz.:4959)</t>
  </si>
  <si>
    <t>Bankkivonat (ikt.sz.:4962)</t>
  </si>
  <si>
    <t>11.21.</t>
  </si>
  <si>
    <t>Bankkivonat (ikt.sz.:4965)</t>
  </si>
  <si>
    <t>11.24.</t>
  </si>
  <si>
    <t>Programfinanszírozás</t>
  </si>
  <si>
    <t>FVM 11.047/1/2008</t>
  </si>
  <si>
    <t>11.26.</t>
  </si>
  <si>
    <t>Parlagfű-mentesítés országos programja</t>
  </si>
  <si>
    <t>EG-031 36.</t>
  </si>
  <si>
    <t>2008. évi telj. MVH</t>
  </si>
  <si>
    <t>Pótei. 2008.évi TÉR finanszírozási fel.ra</t>
  </si>
  <si>
    <t>Hajdú GVOP-3.1.1-2004-05-0472/3.0 projekt</t>
  </si>
  <si>
    <t>Kéknyelv betegség járványü.i ktg.</t>
  </si>
  <si>
    <t>Vágóállat-hústerm. 148/2007</t>
  </si>
  <si>
    <t>LÉAB-ON SITE pályázat</t>
  </si>
  <si>
    <t>Deviza Final Payment Towards pályázat</t>
  </si>
  <si>
    <t>CAP 2008/033-50 pályázat</t>
  </si>
  <si>
    <t>OAKFLOW-INRA.. Pályázat</t>
  </si>
  <si>
    <t>November összesen</t>
  </si>
  <si>
    <t>FVM 10630/4/1/2008</t>
  </si>
  <si>
    <t>12.09.</t>
  </si>
  <si>
    <t>Pótei. teljesítményösztönzési feladat.-ra</t>
  </si>
  <si>
    <t>EG-031 37.</t>
  </si>
  <si>
    <t>12.11.</t>
  </si>
  <si>
    <t>Pályakezdő diplomások támogatása</t>
  </si>
  <si>
    <t>Békés Baross pályázat</t>
  </si>
  <si>
    <t>Heves pályázat (OMFB-00590/2005.)</t>
  </si>
  <si>
    <t>10.939/3/2008. póttámogatás</t>
  </si>
  <si>
    <t>Baromfi Terméktanács 148/2007</t>
  </si>
  <si>
    <t>EG-031 38.</t>
  </si>
  <si>
    <t>KTK rendezés Központ</t>
  </si>
  <si>
    <t>Bankkivonat (ikt.sz.:5006)</t>
  </si>
  <si>
    <t>Az MVH felkészítése az SPS alk.(Főv.ésPest)</t>
  </si>
  <si>
    <t>Bankkivonat (ikt.sz.:5012)</t>
  </si>
  <si>
    <t>12.16.</t>
  </si>
  <si>
    <t>FVM FM Hiv. felkészítése KAP feladatokra</t>
  </si>
  <si>
    <t>FVM 10178/22/2008</t>
  </si>
  <si>
    <t>12.17.</t>
  </si>
  <si>
    <t>Forrás bizt. elmaradt bev. miatt.(okt-nov.)</t>
  </si>
  <si>
    <t>EG-031 39.</t>
  </si>
  <si>
    <t>12.18.</t>
  </si>
  <si>
    <t>MVH 95/2008. rendelet alapján</t>
  </si>
  <si>
    <t>EU visszatrítés TSE surlókór veszettség</t>
  </si>
  <si>
    <t>148/2007 megyei bevételek</t>
  </si>
  <si>
    <t>FVM 10408/14/2008</t>
  </si>
  <si>
    <t>PÉP 2008. IV. negyedévi pótei. átadása</t>
  </si>
  <si>
    <t>Bankkivonat (ikt.sz.:5034)</t>
  </si>
  <si>
    <t>"Forest Focus szabályozás bevezetése (30 millió) Borsod megye</t>
  </si>
  <si>
    <t>„Agr.körny. Inform. és mon. rendszer” Központ</t>
  </si>
  <si>
    <t>„Agr.körny. Inform. és mon. rendszer” Borsod</t>
  </si>
  <si>
    <t>„Agr.körny. Inform. és mon. rendszer” Heves</t>
  </si>
  <si>
    <t>„Agr.körny. Inform. és mon. rendszer” Baranya</t>
  </si>
  <si>
    <t>„Agr.körny. Inform. és mon. rendszer” Somogy</t>
  </si>
  <si>
    <t>Bankkivonat (ikt.sz.:5037)</t>
  </si>
  <si>
    <t>12.19.</t>
  </si>
  <si>
    <t>"Forest Focus szabályozás bevezetése (30 millió) Baranya</t>
  </si>
  <si>
    <t>"Forest Focus szabályozás bevezetése (30 millió) Főváros és Pest</t>
  </si>
  <si>
    <t>"Az MVH felkészítése az SPS alkalmazására" Komárom</t>
  </si>
  <si>
    <t>"Az MVH felkészítése az SPS alkalmazására" Fejér</t>
  </si>
  <si>
    <t>Bankkivonat (ikt.sz.:5048)</t>
  </si>
  <si>
    <t>12.22.</t>
  </si>
  <si>
    <t>"Az MVH felkészítése az SPS alkalmazására" Baranya</t>
  </si>
  <si>
    <t>EG-031 40.</t>
  </si>
  <si>
    <t>Átcsoportosítás beruh.-felúj. között</t>
  </si>
  <si>
    <t>2008. évi telj. MVH Fejér kiutalás</t>
  </si>
  <si>
    <t>EG-031 41.</t>
  </si>
  <si>
    <t>MVH 2008. évi telj.</t>
  </si>
  <si>
    <t>NFÜ-GVOP 311-2004 05-0472/3.0</t>
  </si>
  <si>
    <t>Baranya Tolnay S. díj</t>
  </si>
  <si>
    <t>Várható tám. ért. műk. bev</t>
  </si>
  <si>
    <t>FVM 10364/15/2008.</t>
  </si>
  <si>
    <t>Pályakezdő ösztöndíj.tám.</t>
  </si>
  <si>
    <t>FVM 11152/1/2008.</t>
  </si>
  <si>
    <t>12.23.</t>
  </si>
  <si>
    <t>Összkorm. projektek premizálása</t>
  </si>
  <si>
    <t>EG-031 42.</t>
  </si>
  <si>
    <t>12.29.</t>
  </si>
  <si>
    <t>Többletbevétel</t>
  </si>
  <si>
    <t>Bankkivonat (ikt.sz.:5105</t>
  </si>
  <si>
    <t>12.30.</t>
  </si>
  <si>
    <t>Ei.mód programfin. miatt</t>
  </si>
  <si>
    <t>December összesen</t>
  </si>
  <si>
    <t xml:space="preserve">Előirányzat  összesen: </t>
  </si>
  <si>
    <t>MŰKÖDÉSI KÖLTSÉGVETÉS</t>
  </si>
  <si>
    <t>PJ december 31:</t>
  </si>
  <si>
    <t>Különbözet:</t>
  </si>
  <si>
    <t>Eredeti ei (1.):</t>
  </si>
  <si>
    <t>Kormány hatáskör ei (2.):</t>
  </si>
  <si>
    <t>Országgy. hatáskör ei (3.):</t>
  </si>
  <si>
    <t>Felügyeleti szervi ei (4):</t>
  </si>
  <si>
    <t>Intézményi hatáskörű ei (5):</t>
  </si>
  <si>
    <t>Összesen:</t>
  </si>
  <si>
    <r>
      <t>Bankkivonat</t>
    </r>
    <r>
      <rPr>
        <sz val="8"/>
        <rFont val="Times New Roman"/>
        <family val="1"/>
      </rPr>
      <t xml:space="preserve"> (ikt.sz.:4853)</t>
    </r>
  </si>
  <si>
    <r>
      <t xml:space="preserve">Bankkivonat </t>
    </r>
    <r>
      <rPr>
        <sz val="8"/>
        <rFont val="Times New Roman"/>
        <family val="1"/>
      </rPr>
      <t>(ikt.sz.:4857)</t>
    </r>
  </si>
  <si>
    <r>
      <t xml:space="preserve">Bankkivonat </t>
    </r>
    <r>
      <rPr>
        <sz val="8"/>
        <rFont val="Times New Roman"/>
        <family val="1"/>
      </rPr>
      <t>(ikt.sz.:4866)</t>
    </r>
  </si>
  <si>
    <r>
      <t xml:space="preserve">Bankkivonat </t>
    </r>
    <r>
      <rPr>
        <sz val="8"/>
        <rFont val="Times New Roman"/>
        <family val="1"/>
      </rPr>
      <t>(ikt.sz.:4902)</t>
    </r>
  </si>
  <si>
    <r>
      <t xml:space="preserve">Bankkivonat </t>
    </r>
    <r>
      <rPr>
        <sz val="8"/>
        <rFont val="Times New Roman"/>
        <family val="1"/>
      </rPr>
      <t>(ikt.sz.:4905)</t>
    </r>
  </si>
  <si>
    <r>
      <t xml:space="preserve">Bankkivonat </t>
    </r>
    <r>
      <rPr>
        <sz val="8"/>
        <rFont val="Times New Roman"/>
        <family val="1"/>
      </rPr>
      <t>(ikt.sz.:4923),</t>
    </r>
  </si>
  <si>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„</t>
    </r>
    <r>
      <rPr>
        <sz val="10"/>
        <color indexed="8"/>
        <rFont val="Times New Roman"/>
        <family val="1"/>
      </rPr>
      <t>Forest Focus szabályozás bevezetése</t>
    </r>
    <r>
      <rPr>
        <sz val="10"/>
        <rFont val="Times New Roman"/>
        <family val="1"/>
      </rPr>
      <t>”  Központ 38,5 m Ft</t>
    </r>
  </si>
  <si>
    <r>
      <t>„</t>
    </r>
    <r>
      <rPr>
        <sz val="10"/>
        <color indexed="8"/>
        <rFont val="Times New Roman"/>
        <family val="1"/>
      </rPr>
      <t>Az állategészségügy adminisztrációs kap.növelése</t>
    </r>
    <r>
      <rPr>
        <sz val="10"/>
        <rFont val="Times New Roman"/>
        <family val="1"/>
      </rPr>
      <t>” Központ 14,8 M Ft</t>
    </r>
  </si>
  <si>
    <r>
      <t>„</t>
    </r>
    <r>
      <rPr>
        <sz val="10"/>
        <color indexed="8"/>
        <rFont val="Times New Roman"/>
        <family val="1"/>
      </rPr>
      <t>Fajtakísérleti és vetőmag minősítési inform. rendszer</t>
    </r>
    <r>
      <rPr>
        <sz val="10"/>
        <rFont val="Times New Roman"/>
        <family val="1"/>
      </rPr>
      <t>” Központ 4,2 M Ft</t>
    </r>
  </si>
  <si>
    <r>
      <t xml:space="preserve"> „</t>
    </r>
    <r>
      <rPr>
        <sz val="10"/>
        <color indexed="8"/>
        <rFont val="Times New Roman"/>
        <family val="1"/>
      </rPr>
      <t>Élelmiszerbiztonsági informatikai háttér fejlesztése</t>
    </r>
    <r>
      <rPr>
        <sz val="10"/>
        <rFont val="Times New Roman"/>
        <family val="1"/>
      </rPr>
      <t>”  Központ 6.449 M Ft</t>
    </r>
  </si>
  <si>
    <r>
      <t xml:space="preserve"> „</t>
    </r>
    <r>
      <rPr>
        <sz val="10"/>
        <color indexed="8"/>
        <rFont val="Times New Roman"/>
        <family val="1"/>
      </rPr>
      <t>Élelmiszerbiztonsági informatikai háttér fejlesztése</t>
    </r>
    <r>
      <rPr>
        <sz val="10"/>
        <rFont val="Times New Roman"/>
        <family val="1"/>
      </rPr>
      <t>” (Központ 38 M Ft)</t>
    </r>
  </si>
  <si>
    <t>Indoklás a pótelőirányzatok felhasználásáról</t>
  </si>
  <si>
    <t>Előirányzat</t>
  </si>
  <si>
    <t>Az előirányzat a 2007. év után járó tizenharmadik havi illetmény 2008. évi részletének kifizetésére biztosított fedezetet</t>
  </si>
  <si>
    <t>Felhasználás</t>
  </si>
  <si>
    <t>Fel nem használt előirányzat</t>
  </si>
  <si>
    <t>Három megyei hivtalon keresztül pénzügyi segítségnyújtás történt határon túli ágazati szakmai szervezetek programjának elősegítésére.</t>
  </si>
  <si>
    <t>A Magyar Takarmánykódex kötelező előírásainak kialakítására, működtetésére, a MTK Bizottság működésén keresztül a takarmányok biztonságának és minőségének szabályozására, kapcsolódó elemzésekre, szakértői és szerkesztői munkákra biztosított fedezetet</t>
  </si>
  <si>
    <t>Forrás biztosítása elmaradt bev. miatt. (jan.)</t>
  </si>
  <si>
    <t>Az előirányzat az állattartók támogatása érdekében a 1072/2007. (IX.25.) Kormány határozat, valamint a 111/2007. (X.1.) FVM rendelet alapján díjmentessé vált állatszállítási tevékenység miatt januárban elmaradt bevételeket pótolta</t>
  </si>
  <si>
    <t>Az előirányzat az állattartók támogatása érdekében a 1072/2007. (IX.25.) Kormány határozat, valamint a 111/2007. (X.1.) FVM rendelet alapján díjmentessé vált állatszállítási tevékenység miatt februárban elmaradt bevételeket pótolta</t>
  </si>
  <si>
    <t>Az előirányzat az állattartók támogatása érdekében a 1072/2007. (IX.25.) Kormány határozat, valamint a 111/2007. (X.1.) FVM rendelet alapján díjmentessé vált állatszállítási tevékenység miatt márciusban elmaradt bevételeket pótolta</t>
  </si>
  <si>
    <t>ÁNTSZ-OÉTI átvétele</t>
  </si>
  <si>
    <t>A pótelőirányzat a korábbi években végrehajtott létszámcsökkentéshez kapcsolódva a Prémium Évek Programban részt vevők I. negyedévben kifizetett juttatásai és azok közterhei finanszírozására biztosított fedezetet</t>
  </si>
  <si>
    <t>A köztisztviselői illetményalap módosulásával összefüggően a foglalkoztatottak 2008. évi illetményemelésére felhasználtnak jeleztük</t>
  </si>
  <si>
    <t>Szakállamtitkári előterjesztés alapján az eredeti személyi előirányzat által nem fedezett személyi juttatások finanszírozására történt a felhasználás</t>
  </si>
  <si>
    <t>Létszámleépítés tám. átadás</t>
  </si>
  <si>
    <t>FVM-MTA megállapodás alapján Tomcsányi Pál támogatására</t>
  </si>
  <si>
    <t>Az előirányzat FVM-MTA megállapodás alapján a kedvezményezett akadémikus támogatására számfejtett egyszeri megbízási díj fedezetét teremtett meg.</t>
  </si>
  <si>
    <t>Az előirányzat az állattartók támogatása érdekében a 1072/2007. (IX.25.) Kormány határozat, valamint a 111/2007. (X.1.) FVM rendelet alapján díjmentessé vált állatszállítási tevékenység miatt áprilisban elmaradt bevételeket pótolja</t>
  </si>
  <si>
    <t xml:space="preserve">Az erdészeti szakterület által az Erdővédelmi Mérő- és Megfigyelő Rendszer működtetésén belül faállományok növekedésének mérésére irányuló megbízások keretében került felhasználásra </t>
  </si>
  <si>
    <t>A 162/2008. (VI.19.) Korm.r. alapján eseti kereset kiegészítésre kapott támogatás felhasználásra került</t>
  </si>
  <si>
    <t>Az előirányzat az állattartók támogatása érdekében a 1072/2007. (IX.25.) Kormány határozat, valamint a 111/2007. (X.1.) FVM rendelet alapján díjmentessé vált állatszállítási tevékenység miatt májusban elmaradt bevételeket pótolja</t>
  </si>
  <si>
    <t>Az előirányzat az állattartók támogatása érdekében a 1072/2007. (IX.25.) Kormány határozat, valamint a 111/2007. (X.1.) FVM rendelet alapján díjmentessé vált állatszállítási tevékenység miatt júniusban elmaradt bevételeket pótolja</t>
  </si>
  <si>
    <t>A pótelőirányzat a korábbi években végrehajtott létszámcsökkentéshez kapcsolódva a Prémium Évek Programban részt vevők II. negyedévben kifizetett juttatásai és azok közterhei finanszírozására biztosított fedezetet</t>
  </si>
  <si>
    <t>Az előirányzat az állattartók támogatása érdekében a 1072/2007. (IX.25.) Kormány határozat, valamint a 111/2007. (X.1.) FVM rendelet alapján díjmentessé vált állatszállítási tevékenység miatt júliusban elmaradt bevételeket pótolja</t>
  </si>
  <si>
    <t>Forrás biztosítása elmaradt bev. miatt (aug.)</t>
  </si>
  <si>
    <t>Az előirányzat az állattartók támogatása érdekében a 1072/2007. (IX.25.) Kormány határozat, valamint a 111/2007. (X.1.) FVM rendelet alapján díjmentessé vált állatszállítási tevékenység miatt augusztusban elmaradt bevételeket pótolja</t>
  </si>
  <si>
    <t>Hardver és szoftver fejlesztésekre a felhasználás megtörtént</t>
  </si>
  <si>
    <t>Az előirányzat az állattartók támogatása érdekében a 1072/2007. (IX.25.) Kormány határozat, valamint a 111/2007. (X.1.) FVM rendelet alapján díjmentessé vált állatszállítási tevékenység miatt szeptemberben elmaradt bevételeket pótolja</t>
  </si>
  <si>
    <t>2006-2008. évben elrendelt szervezeti intézkedésekkel ÁNTSZ, OÉTI, OTH egyes feladatainak átvételével összefüggő, tervezettől eltérő személyi kifizetésekre korábban nem biztosított fedezet pótlása</t>
  </si>
  <si>
    <t>A pótelőirányzat a korábbi években végrehajtott létszámcsökkentéshez kapcsolódva a Prémium Évek Programban részt vevők III. negyedévben kifizetett juttatásai és azok közterhei finanszírozására biztosított fedezetet</t>
  </si>
  <si>
    <t>A 162/2008. (VI.19.) Korm.r. alapján eseti kereset kiegészítésre 10617/1/2008. (06.24.) FVM levélben kapott támogatás és a felmért összegnél nagyob mértékű tényleges kifizetések közötti  eltérésre elszámolás alapján kapott szükséges fedezet</t>
  </si>
  <si>
    <t>A 273/2008. (XI.19.) Korm.r. alapján eseti kereset kiegészítés II. ütemére kapott támogatás felhasználásra került</t>
  </si>
  <si>
    <t>A pótelőirányzat a  foglalkoztatottak munkateljesítményei elismerésének finanszírozására felhasználásra került</t>
  </si>
  <si>
    <t>Az előirányzat az állattartók támogatása érdekében a 1072/2007. (IX.25.) Kormány határozat, valamint a 111/2007. (X.1.) FVM rendelet alapján díjmentessé vált állatszállítási tevékenység miatt október-novemberben elmaradt bevételeket pótolja</t>
  </si>
  <si>
    <t>A pótelőirányzat a korábbi években végrehajtott létszámcsökkentéshez kapcsolódva a Prémium Évek Programban részt vevők IV. negyedévben kifizetett juttatásai és azok közterhei finanszírozására biztosított fedezetet</t>
  </si>
  <si>
    <t>Pályakezdő ösztöndíjasok foglalkoztásával kapcsolatos egyes kiadások fedezetére a IV.negyedévi tényleges teljesítés elszámolása alapján kapott előirányzat</t>
  </si>
  <si>
    <t>Az összkormányzati projektben résztvevő munkatársak premizálásának finanszírozásárabiztosított pótelőirányzat teljes egészében 2009-ben kerül felhasználásra.</t>
  </si>
  <si>
    <t>Az előirányzat módosítással történt a Kormány döntése alapján az egységes élelmiszer-biztonsági szervezet létrehozása érdekében az ÁNTSZ, OÉTI és OTH egyes feladatainak  átvételéhez kapcsolódó forrás MgSzH-hoz történő átcsoportosítása, bevétel tekintetében 256.118 eFt támogatás, 197.961 eFt intézményi működési bevétel formájában</t>
  </si>
  <si>
    <t>A pótelőirányzat a 2007-ben indított létszámcsökkentés 2008-ban felmerült kiadásainak fedezetére szolgált. A ténylegesen kifizetett kötelezettségek 2.521 eFt-tal kevesebb összeget tettek ki a pótelőirányzatként kapott összegnél, a különbözet 2009. I. félévében rendezésre kerül</t>
  </si>
  <si>
    <t>Az előrehozott nyugdíjjogosultság feltételeivel rrendelkező köztisztviselők felmentéséhez kapcsolódó egyes kifizetések támogatására előzetes igényfelmérés alapján kapott pótelőirányzat és a tényleges kifizetések közötti 15.598 eFt eltérés, a fel nem használt támogatás visszarendezésre kerül.</t>
  </si>
  <si>
    <t>A parlagfű elleni közérdekű védkezés más forrásból meg nem térülő folyó kiadásainak, valamint informatikai eszközök beszerzésének, fejlesztésének finanszírozására fordított pótelőirányzat. A fel nem használt előirányzat felhasználása 2009. évre húzódik át kötelezettséggel terhelt maradványként nyilvántartva</t>
  </si>
  <si>
    <t>Munkaadókat terhelő járulékok</t>
  </si>
  <si>
    <t>Lista száma</t>
  </si>
  <si>
    <t>Db szám</t>
  </si>
  <si>
    <t>Összeg</t>
  </si>
  <si>
    <t>Posta ktg</t>
  </si>
  <si>
    <t>Mindössz.</t>
  </si>
  <si>
    <t>Bevét.idő</t>
  </si>
  <si>
    <t>Kifiz.időp.</t>
  </si>
  <si>
    <t>1. Lista</t>
  </si>
  <si>
    <t>2. Lista</t>
  </si>
  <si>
    <t>3. Lista</t>
  </si>
  <si>
    <t>4. Lista</t>
  </si>
  <si>
    <t>5. Lista</t>
  </si>
  <si>
    <t>6. Lista</t>
  </si>
  <si>
    <t>7. Lista</t>
  </si>
  <si>
    <t>8. Lista</t>
  </si>
  <si>
    <t>9. Lista</t>
  </si>
  <si>
    <t>10. Lista</t>
  </si>
  <si>
    <t>11. Lista</t>
  </si>
  <si>
    <t>12. Lista</t>
  </si>
  <si>
    <t>13. Lista</t>
  </si>
  <si>
    <t>14. Lista</t>
  </si>
  <si>
    <t>15. Lista</t>
  </si>
  <si>
    <t>16. lista</t>
  </si>
  <si>
    <t>17. Lista</t>
  </si>
  <si>
    <t>18. Lista</t>
  </si>
  <si>
    <t>19. Lista</t>
  </si>
  <si>
    <t>20. Lista</t>
  </si>
  <si>
    <t>21. Lista</t>
  </si>
  <si>
    <t>22. lista</t>
  </si>
  <si>
    <t>23. Lista</t>
  </si>
  <si>
    <t>24. Lista</t>
  </si>
  <si>
    <t>25. Lista</t>
  </si>
  <si>
    <t>26. Lista</t>
  </si>
  <si>
    <t>27. Lista</t>
  </si>
  <si>
    <t>28. Lista</t>
  </si>
  <si>
    <t>29. Lista</t>
  </si>
  <si>
    <t>30. Lista</t>
  </si>
  <si>
    <t>31. Lista</t>
  </si>
  <si>
    <t>32. Lista</t>
  </si>
  <si>
    <t>33. Lista</t>
  </si>
  <si>
    <t>34. Lista</t>
  </si>
  <si>
    <t>35. Lista</t>
  </si>
  <si>
    <t>36. Lista</t>
  </si>
  <si>
    <t>37. Lista</t>
  </si>
  <si>
    <t>38. Lista</t>
  </si>
  <si>
    <t>Járványvéd. kiadás</t>
  </si>
  <si>
    <t>03.1/23/30/08</t>
  </si>
  <si>
    <t>03.1/23/59/08</t>
  </si>
  <si>
    <t>03.1/23/68/08</t>
  </si>
  <si>
    <t>03.1/23/74/08</t>
  </si>
  <si>
    <t>03.1/23/72/08</t>
  </si>
  <si>
    <t>03.1/23/77/08</t>
  </si>
  <si>
    <t>03.1/23/79/08</t>
  </si>
  <si>
    <t>03.1/23/82/08</t>
  </si>
  <si>
    <t>Ez lett lekérve az FVM-től</t>
  </si>
  <si>
    <t>Ez lett kiutalva az állattartók részére</t>
  </si>
  <si>
    <t>Központ járványvédelmi kiadása</t>
  </si>
  <si>
    <t>Járványvédelmi kiadás 2009. évben folyt be</t>
  </si>
  <si>
    <t>Állatkártalanítás 2009. évben folyt be</t>
  </si>
  <si>
    <t>Állatkártalanítás</t>
  </si>
  <si>
    <t>2008 év</t>
  </si>
  <si>
    <t>Időszak</t>
  </si>
  <si>
    <t>Bevétel</t>
  </si>
  <si>
    <t>Kiadás</t>
  </si>
  <si>
    <t>I.   negyedév</t>
  </si>
  <si>
    <t>II.  negyedév</t>
  </si>
  <si>
    <t>III.  negyedév</t>
  </si>
  <si>
    <t>IV. negyedév</t>
  </si>
  <si>
    <t>Záróegyenleg:</t>
  </si>
  <si>
    <t>Ártalmatlanítás</t>
  </si>
  <si>
    <t>Zártvágások bevételei</t>
  </si>
  <si>
    <t>Ny.e.</t>
  </si>
  <si>
    <t xml:space="preserve">Gyöngyösi Húsipari </t>
  </si>
  <si>
    <t>Zengő Völgye</t>
  </si>
  <si>
    <t>Állat- és növénykárt. Függő be- és kiadásai</t>
  </si>
  <si>
    <t xml:space="preserve">48226 Egyenleg </t>
  </si>
  <si>
    <t>Állatkártalanítás átkönyvelése</t>
  </si>
  <si>
    <t xml:space="preserve">37.lista </t>
  </si>
  <si>
    <t>Növénykárt újra utalás</t>
  </si>
  <si>
    <t>Ecsek Ferencné</t>
  </si>
  <si>
    <t>Nagy Emil</t>
  </si>
  <si>
    <t>Nagy Emil posta ktg</t>
  </si>
  <si>
    <t>Örökösöknek kiut. Munkácsi Lajos pénze</t>
  </si>
  <si>
    <t>2 fő örökösöknek posta ktg</t>
  </si>
  <si>
    <t>Lőrinc László visszafizetése</t>
  </si>
  <si>
    <t>Plussz költségekre lekérés FVM</t>
  </si>
  <si>
    <t>Magyarázat a 90.942.- Ft-os egyenleghez:</t>
  </si>
  <si>
    <t>Adminisztrációs hiba folytán kevesebb pénzösszeg lett lekérve az FVM-től</t>
  </si>
  <si>
    <t>A 2007. évben végrehajtott, 2008. évre áthúzódó létszámcsökkentéssel összefüggő egyszeri többletkiadásokra kapott támogatás elszámolása</t>
  </si>
  <si>
    <t>adatok ezer Ft</t>
  </si>
  <si>
    <t>Intézményi teljesítés</t>
  </si>
  <si>
    <t>Megye</t>
  </si>
  <si>
    <t>Fő</t>
  </si>
  <si>
    <t>Felmentés módja</t>
  </si>
  <si>
    <t>Jogviszony</t>
  </si>
  <si>
    <t>Végkielégítés-
ben részesülők száma 
(fő)</t>
  </si>
  <si>
    <t>Felmentési</t>
  </si>
  <si>
    <t>Végkielé-
gítés</t>
  </si>
  <si>
    <t>Szabadság-
megváltás</t>
  </si>
  <si>
    <t>Jubileumi jutalom</t>
  </si>
  <si>
    <t>Személyi juttatás összesen</t>
  </si>
  <si>
    <t>Egyéb működési célú kiadások (korenged-ményes nyugdíj befizetése)</t>
  </si>
  <si>
    <t>Egyszeri többletkiadás összesen</t>
  </si>
  <si>
    <t>illetmény</t>
  </si>
  <si>
    <t>átlagkereset különbözet</t>
  </si>
  <si>
    <t>összesen</t>
  </si>
  <si>
    <t>8=6+7</t>
  </si>
  <si>
    <t>13=8+9+10+11+12</t>
  </si>
  <si>
    <t>16=13+14+15</t>
  </si>
  <si>
    <t>Felm./Végkiel.</t>
  </si>
  <si>
    <t>Ktv.</t>
  </si>
  <si>
    <t>Felmentés</t>
  </si>
  <si>
    <t>Koreng.nyugd.</t>
  </si>
  <si>
    <t xml:space="preserve">Nyugd.min. </t>
  </si>
  <si>
    <t>Kjt.</t>
  </si>
  <si>
    <t>Kért és megkapott támogatás</t>
  </si>
  <si>
    <t>10407/5/2008. (06.04.) FVM levél - támogatás átadás</t>
  </si>
  <si>
    <t>Visszarendezendő</t>
  </si>
  <si>
    <t>a 2008. január 1-je és május 1-je közötti, a Ktv. 17. §-a (2) bekezdésének f) pontja szerinti felmentéssel összefüggő (ELŐREHOZOTT ÖREGSÉGI NYUGDÍJ) támogatási kiadások elszámolása</t>
  </si>
  <si>
    <t>2008. évi tényleges teljesítés</t>
  </si>
  <si>
    <t>Végkielégítés jogcímén kifizetett/kifizetendő juttatás</t>
  </si>
  <si>
    <t xml:space="preserve"> Kapcsolódó munkaadói járulékok</t>
  </si>
  <si>
    <t>Kifizetések mindösszesen</t>
  </si>
  <si>
    <t>4=2+3</t>
  </si>
  <si>
    <t>6=4+5</t>
  </si>
  <si>
    <t>Megyék összesen</t>
  </si>
  <si>
    <t>Költsgv.I.</t>
  </si>
  <si>
    <t>ÉTbI</t>
  </si>
  <si>
    <t>ÁTI</t>
  </si>
  <si>
    <t>NTKI</t>
  </si>
  <si>
    <t>Központ összesen</t>
  </si>
  <si>
    <t>2008. évi teljesítés mindösszesen</t>
  </si>
  <si>
    <t>FVM-től előzetes felmérés alapján kapott előirányzat: 10549/5/2008. (08.15.) FVM levél</t>
  </si>
  <si>
    <t>Visszafizetett fel nem használt támogatás</t>
  </si>
  <si>
    <r>
      <t xml:space="preserve">A munkavégzés alóli felmentés </t>
    </r>
    <r>
      <rPr>
        <u val="single"/>
        <sz val="10"/>
        <rFont val="Times New Roman"/>
        <family val="1"/>
      </rPr>
      <t>kötelező időtartamára</t>
    </r>
    <r>
      <rPr>
        <sz val="10"/>
        <rFont val="Times New Roman"/>
        <family val="1"/>
      </rPr>
      <t xml:space="preserve"> kifizetett/kifizetendő átlagkereset</t>
    </r>
  </si>
  <si>
    <t>Pályakezdő diplomások ösztöndíjas foglalkoztatási jogviszony keretében történő alkalmazásához</t>
  </si>
  <si>
    <t>valamint a 20/2005.(II.11.) Korm.r alapján benyújtott támogatás igénylésre</t>
  </si>
  <si>
    <t>2008. évben kapott támogatás elszámolása</t>
  </si>
  <si>
    <t>Szervezeti egység</t>
  </si>
  <si>
    <t xml:space="preserve">20/2005. (II.11.) Korm.rendelet alapján igényelt költségvetési támogatás </t>
  </si>
  <si>
    <t xml:space="preserve">10364/15/2008. FVM levélben kapott előirányzat </t>
  </si>
  <si>
    <t>Személyi kiadás</t>
  </si>
  <si>
    <t>É.lánc-bizt.eh.</t>
  </si>
  <si>
    <t>NTAI</t>
  </si>
  <si>
    <t>Áeü. és Á.véd. Ig.</t>
  </si>
  <si>
    <t>Állattenyésztési I</t>
  </si>
  <si>
    <t>Földművelésügyi I</t>
  </si>
  <si>
    <t>Erdészeti I.</t>
  </si>
  <si>
    <t>Elnöki közvetlen</t>
  </si>
  <si>
    <t>Költségvetési I.</t>
  </si>
  <si>
    <t>FŐ</t>
  </si>
  <si>
    <t>PÉP</t>
  </si>
  <si>
    <t>KFÁ</t>
  </si>
  <si>
    <t>ebből:</t>
  </si>
  <si>
    <t>I.n.év</t>
  </si>
  <si>
    <t>II.n.év</t>
  </si>
  <si>
    <t>III.n.év</t>
  </si>
  <si>
    <t>IV.n.év</t>
  </si>
  <si>
    <t>Nyugd.</t>
  </si>
  <si>
    <t>eg.bizt</t>
  </si>
  <si>
    <t>m.adói</t>
  </si>
  <si>
    <t>EHO</t>
  </si>
  <si>
    <t>Pest+Főváros</t>
  </si>
  <si>
    <t>Megyék össz.</t>
  </si>
  <si>
    <t>Kapott előirányzatok:</t>
  </si>
  <si>
    <t>személyi</t>
  </si>
  <si>
    <t>járulék</t>
  </si>
  <si>
    <t>10408/2/2008.(05.26.) FVM</t>
  </si>
  <si>
    <t>10408/6/2008.(08.14.) FVM</t>
  </si>
  <si>
    <t>10408/10/2008. (11.13.) FVM</t>
  </si>
  <si>
    <t>10408/14/2008.(12.18.)FVM</t>
  </si>
  <si>
    <t>ÖSSZESEN</t>
  </si>
  <si>
    <t>Fel nem használt keret:</t>
  </si>
  <si>
    <r>
      <t xml:space="preserve">SZEMÉLYI </t>
    </r>
    <r>
      <rPr>
        <sz val="10"/>
        <rFont val="Arial"/>
        <family val="2"/>
      </rPr>
      <t>(ezer Ft)</t>
    </r>
  </si>
  <si>
    <r>
      <t xml:space="preserve">KÖZTEHER </t>
    </r>
    <r>
      <rPr>
        <sz val="10"/>
        <rFont val="Arial"/>
        <family val="2"/>
      </rPr>
      <t>(ezer Ft)</t>
    </r>
  </si>
  <si>
    <r>
      <t xml:space="preserve">ÖSSZESEN </t>
    </r>
    <r>
      <rPr>
        <sz val="10"/>
        <rFont val="Arial"/>
        <family val="2"/>
      </rPr>
      <t>(ezer Ft)</t>
    </r>
  </si>
  <si>
    <t>Mindösszesen</t>
  </si>
  <si>
    <t>Befiz jún.</t>
  </si>
  <si>
    <t>Befiz. Júl.</t>
  </si>
  <si>
    <t xml:space="preserve">Befiz aug. </t>
  </si>
  <si>
    <t>Befiz szept.</t>
  </si>
  <si>
    <t>Befiz.okt.</t>
  </si>
  <si>
    <t>Befiz.nov.20-ig</t>
  </si>
  <si>
    <t>Befiz.nov.30-ig</t>
  </si>
  <si>
    <t>Dec.19-ig</t>
  </si>
  <si>
    <t>Dec.29.-ig</t>
  </si>
  <si>
    <t>vége</t>
  </si>
  <si>
    <t>DEC.ÖSSZ.</t>
  </si>
  <si>
    <t xml:space="preserve"> T vége</t>
  </si>
  <si>
    <t>Megj.</t>
  </si>
  <si>
    <t>T korr.</t>
  </si>
  <si>
    <t>Visszatérülések</t>
  </si>
  <si>
    <t>2004. évi előlegből</t>
  </si>
  <si>
    <t>önkormányzatok</t>
  </si>
  <si>
    <t>MgSzH NTI-k</t>
  </si>
  <si>
    <t>2004.é</t>
  </si>
  <si>
    <t>2005. évi előlegből</t>
  </si>
  <si>
    <t>2005.é</t>
  </si>
  <si>
    <t>2006. évi előlegből</t>
  </si>
  <si>
    <t>2006.é</t>
  </si>
  <si>
    <t>2007. évi előlegből</t>
  </si>
  <si>
    <t>2007.é</t>
  </si>
  <si>
    <t>2008. évi előlegből</t>
  </si>
  <si>
    <t>2008.é</t>
  </si>
  <si>
    <t>Késedelmi kamat</t>
  </si>
  <si>
    <t>Össz.befiz/hó:</t>
  </si>
  <si>
    <t>össz. T vége</t>
  </si>
  <si>
    <t>utalás napja</t>
  </si>
  <si>
    <t>07.29-én</t>
  </si>
  <si>
    <t>08.29-én</t>
  </si>
  <si>
    <t>09.25-én</t>
  </si>
  <si>
    <t>10.10-én</t>
  </si>
  <si>
    <t>11.19-én</t>
  </si>
  <si>
    <t>11.28-án</t>
  </si>
  <si>
    <t>nov.28-ig befizetés</t>
  </si>
  <si>
    <t>Kiutalások</t>
  </si>
  <si>
    <t>2008. évi forrásból</t>
  </si>
  <si>
    <t>befiz év legvégén</t>
  </si>
  <si>
    <t>FVM-be</t>
  </si>
  <si>
    <t>397123   T - 10 889 446</t>
  </si>
  <si>
    <t>Összefoglalva:</t>
  </si>
  <si>
    <t>4823245 T + 10 889 446</t>
  </si>
  <si>
    <t>1. 2007. évi maradvány:</t>
  </si>
  <si>
    <t>397123 T +353 495</t>
  </si>
  <si>
    <t>2. FVM által átadott keret a 2008. évi effektív kivitelezés költségeinek előlegére:</t>
  </si>
  <si>
    <t>4823245 T - 353 495</t>
  </si>
  <si>
    <t>3. 2007. évi marad.rendezése FVM felé (06.12.):</t>
  </si>
  <si>
    <t>4. Előlegek visszatérülése:</t>
  </si>
  <si>
    <t>5. Előlegek kiutalása:</t>
  </si>
  <si>
    <t>6. Célkeretbe visszautalás 2008-as keretből</t>
  </si>
  <si>
    <t>7. Előleg kiutalása visszatérülésekből</t>
  </si>
  <si>
    <t>8. Visszatérülések beutalása FVM célkeretbe (07.29.,08.29.,09.25.10.10.,11.19.,11.28.)</t>
  </si>
  <si>
    <t>9. Rendelkezésre álló összeg MgSzH Közp.</t>
  </si>
  <si>
    <t>7. Megyei MgSzH-khoz befolyt,
Közp-ba továbbb nem utalt összeg:</t>
  </si>
  <si>
    <t>8. Önkormányzatokhoz befolyt,
Közp-ba továbbb nem utalt összeg:</t>
  </si>
  <si>
    <t>??</t>
  </si>
  <si>
    <t>9. Rendelkezésre álló forrás országosan:</t>
  </si>
  <si>
    <t>megoszlás: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</si>
</sst>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yyyy/mm/dd;@"/>
    <numFmt numFmtId="170" formatCode="###,0\,00"/>
    <numFmt numFmtId="171" formatCode="0.0%"/>
  </numFmts>
  <fonts count="7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1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15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Border="1" applyAlignment="1">
      <alignment wrapText="1"/>
    </xf>
    <xf numFmtId="3" fontId="19" fillId="0" borderId="0" xfId="0" applyNumberFormat="1" applyFont="1" applyAlignment="1">
      <alignment wrapText="1"/>
    </xf>
    <xf numFmtId="3" fontId="19" fillId="15" borderId="10" xfId="0" applyNumberFormat="1" applyFont="1" applyFill="1" applyBorder="1" applyAlignment="1">
      <alignment wrapText="1"/>
    </xf>
    <xf numFmtId="3" fontId="20" fillId="15" borderId="10" xfId="0" applyNumberFormat="1" applyFont="1" applyFill="1" applyBorder="1" applyAlignment="1">
      <alignment wrapText="1"/>
    </xf>
    <xf numFmtId="3" fontId="21" fillId="0" borderId="11" xfId="61" applyNumberFormat="1" applyFont="1" applyBorder="1" applyAlignment="1">
      <alignment vertical="center" wrapText="1"/>
      <protection/>
    </xf>
    <xf numFmtId="3" fontId="21" fillId="0" borderId="0" xfId="61" applyNumberFormat="1" applyFont="1" applyAlignment="1">
      <alignment horizontal="center" vertical="center" wrapText="1"/>
      <protection/>
    </xf>
    <xf numFmtId="3" fontId="24" fillId="0" borderId="11" xfId="61" applyNumberFormat="1" applyFont="1" applyBorder="1" applyAlignment="1">
      <alignment horizontal="left" vertical="center" wrapText="1"/>
      <protection/>
    </xf>
    <xf numFmtId="3" fontId="22" fillId="0" borderId="0" xfId="61" applyNumberFormat="1" applyFont="1" applyAlignment="1">
      <alignment horizontal="center" vertical="center" wrapText="1"/>
      <protection/>
    </xf>
    <xf numFmtId="3" fontId="25" fillId="0" borderId="10" xfId="61" applyNumberFormat="1" applyFont="1" applyBorder="1" applyAlignment="1">
      <alignment vertical="center"/>
      <protection/>
    </xf>
    <xf numFmtId="3" fontId="25" fillId="0" borderId="12" xfId="61" applyNumberFormat="1" applyFont="1" applyBorder="1" applyAlignment="1">
      <alignment vertical="center"/>
      <protection/>
    </xf>
    <xf numFmtId="49" fontId="25" fillId="0" borderId="12" xfId="61" applyNumberFormat="1" applyFont="1" applyBorder="1" applyAlignment="1">
      <alignment horizontal="center" vertical="center"/>
      <protection/>
    </xf>
    <xf numFmtId="3" fontId="25" fillId="0" borderId="13" xfId="61" applyNumberFormat="1" applyFont="1" applyBorder="1" applyAlignment="1">
      <alignment vertical="center"/>
      <protection/>
    </xf>
    <xf numFmtId="3" fontId="26" fillId="0" borderId="12" xfId="61" applyNumberFormat="1" applyFont="1" applyBorder="1" applyAlignment="1">
      <alignment vertical="center"/>
      <protection/>
    </xf>
    <xf numFmtId="3" fontId="27" fillId="0" borderId="0" xfId="61" applyNumberFormat="1" applyFont="1" applyAlignment="1">
      <alignment horizontal="left" vertical="center"/>
      <protection/>
    </xf>
    <xf numFmtId="3" fontId="25" fillId="0" borderId="0" xfId="61" applyNumberFormat="1" applyFont="1" applyAlignment="1">
      <alignment vertical="center"/>
      <protection/>
    </xf>
    <xf numFmtId="3" fontId="25" fillId="24" borderId="10" xfId="61" applyNumberFormat="1" applyFont="1" applyFill="1" applyBorder="1" applyAlignment="1">
      <alignment vertical="center"/>
      <protection/>
    </xf>
    <xf numFmtId="3" fontId="25" fillId="0" borderId="10" xfId="61" applyNumberFormat="1" applyFont="1" applyFill="1" applyBorder="1" applyAlignment="1">
      <alignment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3" fontId="28" fillId="0" borderId="10" xfId="61" applyNumberFormat="1" applyFont="1" applyBorder="1" applyAlignment="1">
      <alignment vertical="center"/>
      <protection/>
    </xf>
    <xf numFmtId="3" fontId="28" fillId="0" borderId="12" xfId="61" applyNumberFormat="1" applyFont="1" applyBorder="1" applyAlignment="1">
      <alignment vertical="center"/>
      <protection/>
    </xf>
    <xf numFmtId="3" fontId="28" fillId="0" borderId="0" xfId="61" applyNumberFormat="1" applyFont="1" applyAlignment="1">
      <alignment horizontal="left" vertical="center"/>
      <protection/>
    </xf>
    <xf numFmtId="3" fontId="28" fillId="0" borderId="0" xfId="61" applyNumberFormat="1" applyFont="1" applyAlignment="1">
      <alignment vertical="center"/>
      <protection/>
    </xf>
    <xf numFmtId="3" fontId="29" fillId="0" borderId="10" xfId="61" applyNumberFormat="1" applyFont="1" applyBorder="1" applyAlignment="1">
      <alignment vertical="center"/>
      <protection/>
    </xf>
    <xf numFmtId="3" fontId="25" fillId="0" borderId="12" xfId="61" applyNumberFormat="1" applyFont="1" applyFill="1" applyBorder="1" applyAlignment="1">
      <alignment vertical="center"/>
      <protection/>
    </xf>
    <xf numFmtId="3" fontId="25" fillId="0" borderId="0" xfId="61" applyNumberFormat="1" applyFont="1" applyBorder="1" applyAlignment="1">
      <alignment vertical="center"/>
      <protection/>
    </xf>
    <xf numFmtId="49" fontId="25" fillId="0" borderId="14" xfId="61" applyNumberFormat="1" applyFont="1" applyBorder="1" applyAlignment="1">
      <alignment horizontal="center" vertical="center"/>
      <protection/>
    </xf>
    <xf numFmtId="3" fontId="30" fillId="0" borderId="10" xfId="61" applyNumberFormat="1" applyFont="1" applyBorder="1" applyAlignment="1">
      <alignment vertical="center"/>
      <protection/>
    </xf>
    <xf numFmtId="3" fontId="28" fillId="0" borderId="0" xfId="61" applyNumberFormat="1" applyFont="1" applyBorder="1" applyAlignment="1">
      <alignment vertical="center"/>
      <protection/>
    </xf>
    <xf numFmtId="3" fontId="30" fillId="0" borderId="10" xfId="61" applyNumberFormat="1" applyFont="1" applyFill="1" applyBorder="1" applyAlignment="1">
      <alignment vertical="center"/>
      <protection/>
    </xf>
    <xf numFmtId="3" fontId="21" fillId="0" borderId="10" xfId="61" applyNumberFormat="1" applyFont="1" applyFill="1" applyBorder="1" applyAlignment="1">
      <alignment vertical="center"/>
      <protection/>
    </xf>
    <xf numFmtId="3" fontId="27" fillId="0" borderId="0" xfId="61" applyNumberFormat="1" applyFont="1" applyBorder="1" applyAlignment="1">
      <alignment vertical="center"/>
      <protection/>
    </xf>
    <xf numFmtId="3" fontId="27" fillId="0" borderId="10" xfId="61" applyNumberFormat="1" applyFont="1" applyFill="1" applyBorder="1" applyAlignment="1">
      <alignment vertical="center"/>
      <protection/>
    </xf>
    <xf numFmtId="3" fontId="27" fillId="0" borderId="12" xfId="61" applyNumberFormat="1" applyFont="1" applyFill="1" applyBorder="1" applyAlignment="1">
      <alignment vertical="center"/>
      <protection/>
    </xf>
    <xf numFmtId="3" fontId="27" fillId="0" borderId="0" xfId="61" applyNumberFormat="1" applyFont="1" applyAlignment="1">
      <alignment vertical="center"/>
      <protection/>
    </xf>
    <xf numFmtId="3" fontId="21" fillId="0" borderId="10" xfId="61" applyNumberFormat="1" applyFont="1" applyBorder="1" applyAlignment="1">
      <alignment vertical="center"/>
      <protection/>
    </xf>
    <xf numFmtId="3" fontId="29" fillId="0" borderId="10" xfId="61" applyNumberFormat="1" applyFont="1" applyFill="1" applyBorder="1" applyAlignment="1">
      <alignment vertical="center"/>
      <protection/>
    </xf>
    <xf numFmtId="3" fontId="25" fillId="0" borderId="0" xfId="61" applyNumberFormat="1" applyFont="1" applyAlignment="1">
      <alignment horizontal="left" vertical="center"/>
      <protection/>
    </xf>
    <xf numFmtId="3" fontId="25" fillId="0" borderId="10" xfId="61" applyNumberFormat="1" applyFont="1" applyFill="1" applyBorder="1" applyAlignment="1">
      <alignment vertical="center" wrapText="1"/>
      <protection/>
    </xf>
    <xf numFmtId="3" fontId="25" fillId="0" borderId="15" xfId="61" applyNumberFormat="1" applyFont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3" fontId="25" fillId="0" borderId="10" xfId="55" applyNumberFormat="1" applyFont="1" applyBorder="1" applyAlignment="1">
      <alignment vertical="center"/>
      <protection/>
    </xf>
    <xf numFmtId="0" fontId="30" fillId="0" borderId="10" xfId="55" applyFont="1" applyBorder="1" applyAlignment="1">
      <alignment vertical="center"/>
      <protection/>
    </xf>
    <xf numFmtId="3" fontId="25" fillId="24" borderId="16" xfId="61" applyNumberFormat="1" applyFont="1" applyFill="1" applyBorder="1" applyAlignment="1">
      <alignment vertical="center"/>
      <protection/>
    </xf>
    <xf numFmtId="49" fontId="25" fillId="24" borderId="10" xfId="42" applyNumberFormat="1" applyFont="1" applyFill="1" applyBorder="1" applyAlignment="1">
      <alignment horizontal="center" vertical="center" wrapText="1"/>
    </xf>
    <xf numFmtId="49" fontId="25" fillId="24" borderId="10" xfId="42" applyNumberFormat="1" applyFont="1" applyFill="1" applyBorder="1" applyAlignment="1">
      <alignment horizontal="center" vertical="center"/>
    </xf>
    <xf numFmtId="0" fontId="25" fillId="0" borderId="10" xfId="55" applyFont="1" applyBorder="1" applyAlignment="1">
      <alignment vertical="center"/>
      <protection/>
    </xf>
    <xf numFmtId="3" fontId="25" fillId="24" borderId="0" xfId="61" applyNumberFormat="1" applyFont="1" applyFill="1" applyBorder="1" applyAlignment="1">
      <alignment vertical="center"/>
      <protection/>
    </xf>
    <xf numFmtId="3" fontId="19" fillId="0" borderId="10" xfId="55" applyNumberFormat="1" applyFont="1" applyFill="1" applyBorder="1" applyAlignment="1">
      <alignment horizontal="right" vertical="center" wrapText="1"/>
      <protection/>
    </xf>
    <xf numFmtId="1" fontId="25" fillId="0" borderId="10" xfId="55" applyNumberFormat="1" applyFont="1" applyFill="1" applyBorder="1" applyAlignment="1">
      <alignment horizontal="left" vertical="center" wrapText="1"/>
      <protection/>
    </xf>
    <xf numFmtId="0" fontId="25" fillId="0" borderId="10" xfId="55" applyFont="1" applyBorder="1" applyAlignment="1">
      <alignment vertical="center" wrapText="1"/>
      <protection/>
    </xf>
    <xf numFmtId="1" fontId="25" fillId="0" borderId="10" xfId="55" applyNumberFormat="1" applyFont="1" applyBorder="1" applyAlignment="1">
      <alignment horizontal="left" vertical="center" wrapText="1"/>
      <protection/>
    </xf>
    <xf numFmtId="3" fontId="25" fillId="0" borderId="0" xfId="61" applyNumberFormat="1" applyFont="1">
      <alignment/>
      <protection/>
    </xf>
    <xf numFmtId="3" fontId="25" fillId="0" borderId="10" xfId="61" applyNumberFormat="1" applyFont="1" applyBorder="1">
      <alignment/>
      <protection/>
    </xf>
    <xf numFmtId="3" fontId="26" fillId="0" borderId="10" xfId="61" applyNumberFormat="1" applyFont="1" applyBorder="1" applyAlignment="1">
      <alignment vertical="center"/>
      <protection/>
    </xf>
    <xf numFmtId="3" fontId="25" fillId="0" borderId="12" xfId="61" applyNumberFormat="1" applyFont="1" applyBorder="1">
      <alignment/>
      <protection/>
    </xf>
    <xf numFmtId="3" fontId="19" fillId="0" borderId="12" xfId="55" applyNumberFormat="1" applyFont="1" applyFill="1" applyBorder="1" applyAlignment="1">
      <alignment horizontal="right" vertical="center" wrapText="1"/>
      <protection/>
    </xf>
    <xf numFmtId="49" fontId="25" fillId="24" borderId="17" xfId="42" applyNumberFormat="1" applyFont="1" applyFill="1" applyBorder="1" applyAlignment="1">
      <alignment horizontal="center" vertical="center"/>
    </xf>
    <xf numFmtId="49" fontId="25" fillId="0" borderId="10" xfId="42" applyNumberFormat="1" applyFont="1" applyFill="1" applyBorder="1" applyAlignment="1">
      <alignment horizontal="center" vertical="center" wrapText="1"/>
    </xf>
    <xf numFmtId="49" fontId="25" fillId="0" borderId="17" xfId="42" applyNumberFormat="1" applyFont="1" applyFill="1" applyBorder="1" applyAlignment="1">
      <alignment horizontal="center" vertical="center"/>
    </xf>
    <xf numFmtId="0" fontId="25" fillId="0" borderId="10" xfId="55" applyFont="1" applyFill="1" applyBorder="1" applyAlignment="1">
      <alignment vertical="center"/>
      <protection/>
    </xf>
    <xf numFmtId="3" fontId="25" fillId="24" borderId="0" xfId="61" applyNumberFormat="1" applyFont="1" applyFill="1" applyBorder="1">
      <alignment/>
      <protection/>
    </xf>
    <xf numFmtId="3" fontId="28" fillId="0" borderId="10" xfId="61" applyNumberFormat="1" applyFont="1" applyBorder="1">
      <alignment/>
      <protection/>
    </xf>
    <xf numFmtId="3" fontId="27" fillId="0" borderId="0" xfId="61" applyNumberFormat="1" applyFont="1" applyAlignment="1">
      <alignment horizontal="left"/>
      <protection/>
    </xf>
    <xf numFmtId="3" fontId="26" fillId="0" borderId="0" xfId="61" applyNumberFormat="1" applyFont="1">
      <alignment/>
      <protection/>
    </xf>
    <xf numFmtId="3" fontId="26" fillId="3" borderId="10" xfId="61" applyNumberFormat="1" applyFont="1" applyFill="1" applyBorder="1">
      <alignment/>
      <protection/>
    </xf>
    <xf numFmtId="3" fontId="26" fillId="0" borderId="0" xfId="61" applyNumberFormat="1" applyFont="1" applyFill="1">
      <alignment/>
      <protection/>
    </xf>
    <xf numFmtId="3" fontId="26" fillId="0" borderId="10" xfId="61" applyNumberFormat="1" applyFont="1" applyFill="1" applyBorder="1">
      <alignment/>
      <protection/>
    </xf>
    <xf numFmtId="3" fontId="26" fillId="0" borderId="0" xfId="61" applyNumberFormat="1" applyFont="1" applyFill="1" applyBorder="1">
      <alignment/>
      <protection/>
    </xf>
    <xf numFmtId="3" fontId="25" fillId="0" borderId="18" xfId="61" applyNumberFormat="1" applyFont="1" applyBorder="1">
      <alignment/>
      <protection/>
    </xf>
    <xf numFmtId="49" fontId="25" fillId="0" borderId="18" xfId="61" applyNumberFormat="1" applyFont="1" applyBorder="1" applyAlignment="1">
      <alignment horizontal="center"/>
      <protection/>
    </xf>
    <xf numFmtId="3" fontId="25" fillId="0" borderId="18" xfId="61" applyNumberFormat="1" applyFont="1" applyBorder="1" applyAlignment="1">
      <alignment horizontal="right"/>
      <protection/>
    </xf>
    <xf numFmtId="3" fontId="25" fillId="0" borderId="18" xfId="61" applyNumberFormat="1" applyFont="1" applyFill="1" applyBorder="1">
      <alignment/>
      <protection/>
    </xf>
    <xf numFmtId="49" fontId="25" fillId="0" borderId="0" xfId="61" applyNumberFormat="1" applyFont="1" applyAlignment="1">
      <alignment horizontal="center"/>
      <protection/>
    </xf>
    <xf numFmtId="3" fontId="25" fillId="0" borderId="0" xfId="61" applyNumberFormat="1" applyFont="1" applyAlignment="1">
      <alignment horizontal="right"/>
      <protection/>
    </xf>
    <xf numFmtId="3" fontId="25" fillId="0" borderId="0" xfId="61" applyNumberFormat="1" applyFont="1" applyFill="1">
      <alignment/>
      <protection/>
    </xf>
    <xf numFmtId="49" fontId="25" fillId="0" borderId="0" xfId="61" applyNumberFormat="1" applyFont="1">
      <alignment/>
      <protection/>
    </xf>
    <xf numFmtId="3" fontId="25" fillId="0" borderId="0" xfId="61" applyNumberFormat="1" applyFont="1" applyFill="1" applyBorder="1">
      <alignment/>
      <protection/>
    </xf>
    <xf numFmtId="3" fontId="25" fillId="0" borderId="0" xfId="61" applyNumberFormat="1" applyFont="1" applyBorder="1">
      <alignment/>
      <protection/>
    </xf>
    <xf numFmtId="3" fontId="25" fillId="0" borderId="0" xfId="61" applyNumberFormat="1" applyFont="1" applyBorder="1" applyAlignment="1">
      <alignment/>
      <protection/>
    </xf>
    <xf numFmtId="3" fontId="25" fillId="0" borderId="0" xfId="61" applyNumberFormat="1" applyFont="1" applyAlignment="1">
      <alignment/>
      <protection/>
    </xf>
    <xf numFmtId="3" fontId="26" fillId="0" borderId="18" xfId="61" applyNumberFormat="1" applyFont="1" applyBorder="1" applyAlignment="1">
      <alignment horizontal="right"/>
      <protection/>
    </xf>
    <xf numFmtId="3" fontId="26" fillId="0" borderId="18" xfId="61" applyNumberFormat="1" applyFont="1" applyBorder="1">
      <alignment/>
      <protection/>
    </xf>
    <xf numFmtId="3" fontId="25" fillId="0" borderId="0" xfId="61" applyNumberFormat="1" applyFont="1" applyAlignment="1">
      <alignment horizontal="center"/>
      <protection/>
    </xf>
    <xf numFmtId="3" fontId="25" fillId="0" borderId="0" xfId="61" applyNumberFormat="1" applyFont="1" applyAlignment="1">
      <alignment horizontal="center" vertical="center" wrapText="1"/>
      <protection/>
    </xf>
    <xf numFmtId="3" fontId="26" fillId="0" borderId="0" xfId="61" applyNumberFormat="1" applyFont="1" applyAlignment="1">
      <alignment horizontal="center" vertical="center" wrapText="1"/>
      <protection/>
    </xf>
    <xf numFmtId="3" fontId="25" fillId="0" borderId="10" xfId="61" applyNumberFormat="1" applyFont="1" applyBorder="1" applyAlignment="1">
      <alignment vertical="center" wrapText="1"/>
      <protection/>
    </xf>
    <xf numFmtId="3" fontId="25" fillId="0" borderId="10" xfId="61" applyNumberFormat="1" applyFont="1" applyBorder="1" applyAlignment="1">
      <alignment horizontal="left" vertical="center" wrapText="1"/>
      <protection/>
    </xf>
    <xf numFmtId="0" fontId="19" fillId="0" borderId="19" xfId="0" applyFont="1" applyBorder="1" applyAlignment="1">
      <alignment wrapText="1"/>
    </xf>
    <xf numFmtId="3" fontId="27" fillId="0" borderId="10" xfId="61" applyNumberFormat="1" applyFont="1" applyBorder="1" applyAlignment="1">
      <alignment horizontal="left" vertical="center" wrapText="1"/>
      <protection/>
    </xf>
    <xf numFmtId="3" fontId="25" fillId="0" borderId="0" xfId="61" applyNumberFormat="1" applyFont="1" applyAlignment="1">
      <alignment wrapText="1"/>
      <protection/>
    </xf>
    <xf numFmtId="3" fontId="25" fillId="0" borderId="0" xfId="61" applyNumberFormat="1" applyFont="1" applyAlignment="1">
      <alignment horizontal="left" wrapText="1"/>
      <protection/>
    </xf>
    <xf numFmtId="3" fontId="35" fillId="0" borderId="10" xfId="59" applyNumberFormat="1" applyFont="1" applyBorder="1" applyAlignment="1">
      <alignment horizontal="center"/>
      <protection/>
    </xf>
    <xf numFmtId="0" fontId="35" fillId="0" borderId="10" xfId="59" applyFont="1" applyBorder="1" applyAlignment="1">
      <alignment horizontal="center"/>
      <protection/>
    </xf>
    <xf numFmtId="0" fontId="35" fillId="0" borderId="0" xfId="59" applyFont="1" applyAlignment="1">
      <alignment horizontal="center"/>
      <protection/>
    </xf>
    <xf numFmtId="3" fontId="36" fillId="0" borderId="10" xfId="59" applyNumberFormat="1" applyFont="1" applyBorder="1">
      <alignment/>
      <protection/>
    </xf>
    <xf numFmtId="14" fontId="36" fillId="0" borderId="10" xfId="59" applyNumberFormat="1" applyFont="1" applyBorder="1" applyAlignment="1">
      <alignment horizontal="right"/>
      <protection/>
    </xf>
    <xf numFmtId="14" fontId="36" fillId="0" borderId="10" xfId="59" applyNumberFormat="1" applyFont="1" applyBorder="1">
      <alignment/>
      <protection/>
    </xf>
    <xf numFmtId="0" fontId="36" fillId="0" borderId="0" xfId="59" applyFont="1">
      <alignment/>
      <protection/>
    </xf>
    <xf numFmtId="3" fontId="36" fillId="0" borderId="10" xfId="59" applyNumberFormat="1" applyFont="1" applyFill="1" applyBorder="1">
      <alignment/>
      <protection/>
    </xf>
    <xf numFmtId="14" fontId="36" fillId="0" borderId="10" xfId="59" applyNumberFormat="1" applyFont="1" applyFill="1" applyBorder="1" applyAlignment="1">
      <alignment horizontal="right"/>
      <protection/>
    </xf>
    <xf numFmtId="14" fontId="36" fillId="0" borderId="10" xfId="59" applyNumberFormat="1" applyFont="1" applyFill="1" applyBorder="1">
      <alignment/>
      <protection/>
    </xf>
    <xf numFmtId="0" fontId="36" fillId="0" borderId="0" xfId="59" applyFont="1" applyFill="1">
      <alignment/>
      <protection/>
    </xf>
    <xf numFmtId="3" fontId="34" fillId="0" borderId="10" xfId="59" applyNumberFormat="1" applyFont="1" applyFill="1" applyBorder="1">
      <alignment/>
      <protection/>
    </xf>
    <xf numFmtId="0" fontId="36" fillId="0" borderId="10" xfId="59" applyFont="1" applyFill="1" applyBorder="1" applyAlignment="1">
      <alignment horizontal="right"/>
      <protection/>
    </xf>
    <xf numFmtId="0" fontId="36" fillId="0" borderId="10" xfId="59" applyFont="1" applyFill="1" applyBorder="1">
      <alignment/>
      <protection/>
    </xf>
    <xf numFmtId="3" fontId="35" fillId="0" borderId="10" xfId="59" applyNumberFormat="1" applyFont="1" applyBorder="1">
      <alignment/>
      <protection/>
    </xf>
    <xf numFmtId="0" fontId="35" fillId="0" borderId="10" xfId="59" applyFont="1" applyBorder="1" applyAlignment="1">
      <alignment horizontal="right"/>
      <protection/>
    </xf>
    <xf numFmtId="0" fontId="35" fillId="0" borderId="10" xfId="59" applyFont="1" applyBorder="1">
      <alignment/>
      <protection/>
    </xf>
    <xf numFmtId="3" fontId="36" fillId="0" borderId="0" xfId="59" applyNumberFormat="1" applyFont="1">
      <alignment/>
      <protection/>
    </xf>
    <xf numFmtId="0" fontId="36" fillId="0" borderId="0" xfId="59" applyFont="1" applyAlignment="1">
      <alignment horizontal="right"/>
      <protection/>
    </xf>
    <xf numFmtId="3" fontId="37" fillId="0" borderId="0" xfId="59" applyNumberFormat="1" applyFont="1">
      <alignment/>
      <protection/>
    </xf>
    <xf numFmtId="3" fontId="38" fillId="0" borderId="0" xfId="59" applyNumberFormat="1" applyFont="1">
      <alignment/>
      <protection/>
    </xf>
    <xf numFmtId="3" fontId="34" fillId="0" borderId="0" xfId="59" applyNumberFormat="1" applyAlignment="1">
      <alignment/>
      <protection/>
    </xf>
    <xf numFmtId="0" fontId="39" fillId="0" borderId="0" xfId="59" applyFont="1">
      <alignment/>
      <protection/>
    </xf>
    <xf numFmtId="0" fontId="35" fillId="0" borderId="0" xfId="59" applyFont="1" applyAlignment="1">
      <alignment horizontal="right"/>
      <protection/>
    </xf>
    <xf numFmtId="3" fontId="34" fillId="0" borderId="0" xfId="59" applyNumberFormat="1" applyAlignment="1">
      <alignment horizontal="center"/>
      <protection/>
    </xf>
    <xf numFmtId="3" fontId="39" fillId="0" borderId="0" xfId="59" applyNumberFormat="1" applyFont="1" applyAlignment="1">
      <alignment horizontal="center"/>
      <protection/>
    </xf>
    <xf numFmtId="3" fontId="40" fillId="0" borderId="0" xfId="59" applyNumberFormat="1" applyFont="1" applyAlignment="1">
      <alignment horizontal="center"/>
      <protection/>
    </xf>
    <xf numFmtId="3" fontId="40" fillId="0" borderId="0" xfId="59" applyNumberFormat="1" applyFont="1" applyAlignment="1">
      <alignment/>
      <protection/>
    </xf>
    <xf numFmtId="3" fontId="39" fillId="0" borderId="0" xfId="59" applyNumberFormat="1" applyFont="1" applyAlignment="1">
      <alignment/>
      <protection/>
    </xf>
    <xf numFmtId="3" fontId="34" fillId="0" borderId="0" xfId="59" applyNumberFormat="1">
      <alignment/>
      <protection/>
    </xf>
    <xf numFmtId="1" fontId="35" fillId="0" borderId="0" xfId="59" applyNumberFormat="1" applyFont="1">
      <alignment/>
      <protection/>
    </xf>
    <xf numFmtId="3" fontId="41" fillId="0" borderId="10" xfId="59" applyNumberFormat="1" applyFont="1" applyBorder="1" applyAlignment="1">
      <alignment horizontal="center"/>
      <protection/>
    </xf>
    <xf numFmtId="3" fontId="42" fillId="0" borderId="10" xfId="59" applyNumberFormat="1" applyFont="1" applyBorder="1">
      <alignment/>
      <protection/>
    </xf>
    <xf numFmtId="3" fontId="34" fillId="0" borderId="10" xfId="59" applyNumberFormat="1" applyFont="1" applyBorder="1">
      <alignment/>
      <protection/>
    </xf>
    <xf numFmtId="3" fontId="34" fillId="0" borderId="10" xfId="59" applyNumberFormat="1" applyBorder="1">
      <alignment/>
      <protection/>
    </xf>
    <xf numFmtId="3" fontId="41" fillId="0" borderId="10" xfId="59" applyNumberFormat="1" applyFont="1" applyBorder="1">
      <alignment/>
      <protection/>
    </xf>
    <xf numFmtId="3" fontId="43" fillId="0" borderId="10" xfId="59" applyNumberFormat="1" applyFont="1" applyBorder="1">
      <alignment/>
      <protection/>
    </xf>
    <xf numFmtId="3" fontId="35" fillId="0" borderId="0" xfId="59" applyNumberFormat="1" applyFont="1">
      <alignment/>
      <protection/>
    </xf>
    <xf numFmtId="3" fontId="42" fillId="0" borderId="0" xfId="59" applyNumberFormat="1" applyFont="1">
      <alignment/>
      <protection/>
    </xf>
    <xf numFmtId="3" fontId="44" fillId="0" borderId="0" xfId="59" applyNumberFormat="1" applyFont="1">
      <alignment/>
      <protection/>
    </xf>
    <xf numFmtId="3" fontId="41" fillId="0" borderId="0" xfId="59" applyNumberFormat="1" applyFont="1" applyAlignment="1">
      <alignment horizontal="center"/>
      <protection/>
    </xf>
    <xf numFmtId="3" fontId="35" fillId="0" borderId="0" xfId="59" applyNumberFormat="1" applyFont="1" applyAlignment="1">
      <alignment horizontal="center"/>
      <protection/>
    </xf>
    <xf numFmtId="3" fontId="39" fillId="0" borderId="10" xfId="59" applyNumberFormat="1" applyFont="1" applyBorder="1">
      <alignment/>
      <protection/>
    </xf>
    <xf numFmtId="3" fontId="45" fillId="0" borderId="0" xfId="59" applyNumberFormat="1" applyFont="1">
      <alignment/>
      <protection/>
    </xf>
    <xf numFmtId="3" fontId="43" fillId="0" borderId="0" xfId="59" applyNumberFormat="1" applyFont="1" applyAlignment="1">
      <alignment horizontal="center"/>
      <protection/>
    </xf>
    <xf numFmtId="3" fontId="40" fillId="0" borderId="0" xfId="59" applyNumberFormat="1" applyFont="1">
      <alignment/>
      <protection/>
    </xf>
    <xf numFmtId="3" fontId="34" fillId="0" borderId="0" xfId="59" applyNumberFormat="1" applyFont="1">
      <alignment/>
      <protection/>
    </xf>
    <xf numFmtId="3" fontId="46" fillId="0" borderId="0" xfId="59" applyNumberFormat="1" applyFont="1">
      <alignment/>
      <protection/>
    </xf>
    <xf numFmtId="3" fontId="40" fillId="0" borderId="0" xfId="59" applyNumberFormat="1" applyFont="1">
      <alignment/>
      <protection/>
    </xf>
    <xf numFmtId="3" fontId="34" fillId="0" borderId="0" xfId="59" applyNumberFormat="1" applyBorder="1">
      <alignment/>
      <protection/>
    </xf>
    <xf numFmtId="3" fontId="34" fillId="0" borderId="0" xfId="59" applyNumberFormat="1" applyFill="1" applyBorder="1">
      <alignment/>
      <protection/>
    </xf>
    <xf numFmtId="3" fontId="40" fillId="0" borderId="0" xfId="59" applyNumberFormat="1" applyFont="1" applyBorder="1">
      <alignment/>
      <protection/>
    </xf>
    <xf numFmtId="3" fontId="40" fillId="0" borderId="0" xfId="59" applyNumberFormat="1" applyFont="1" applyFill="1" applyBorder="1">
      <alignment/>
      <protection/>
    </xf>
    <xf numFmtId="3" fontId="34" fillId="0" borderId="0" xfId="59" applyNumberFormat="1" applyFont="1" applyBorder="1">
      <alignment/>
      <protection/>
    </xf>
    <xf numFmtId="3" fontId="34" fillId="0" borderId="0" xfId="59" applyNumberFormat="1" applyFont="1" applyFill="1" applyBorder="1">
      <alignment/>
      <protection/>
    </xf>
    <xf numFmtId="0" fontId="25" fillId="0" borderId="0" xfId="62" applyFont="1">
      <alignment/>
      <protection/>
    </xf>
    <xf numFmtId="0" fontId="32" fillId="0" borderId="0" xfId="62" applyFont="1" applyBorder="1" applyAlignment="1">
      <alignment horizontal="center" vertical="top"/>
      <protection/>
    </xf>
    <xf numFmtId="0" fontId="47" fillId="0" borderId="0" xfId="62" applyFont="1" applyAlignment="1">
      <alignment horizontal="center"/>
      <protection/>
    </xf>
    <xf numFmtId="0" fontId="47" fillId="0" borderId="0" xfId="62" applyFont="1" applyAlignment="1">
      <alignment/>
      <protection/>
    </xf>
    <xf numFmtId="0" fontId="33" fillId="0" borderId="0" xfId="62" applyFont="1">
      <alignment/>
      <protection/>
    </xf>
    <xf numFmtId="0" fontId="49" fillId="0" borderId="0" xfId="62" applyFont="1" applyBorder="1" applyAlignment="1">
      <alignment horizontal="left"/>
      <protection/>
    </xf>
    <xf numFmtId="0" fontId="33" fillId="0" borderId="0" xfId="62" applyFont="1" applyBorder="1" applyAlignment="1">
      <alignment horizontal="center"/>
      <protection/>
    </xf>
    <xf numFmtId="0" fontId="33" fillId="0" borderId="0" xfId="62" applyFont="1" applyBorder="1" applyAlignment="1">
      <alignment horizontal="center" vertical="top"/>
      <protection/>
    </xf>
    <xf numFmtId="0" fontId="50" fillId="0" borderId="0" xfId="62" applyFont="1" applyAlignment="1">
      <alignment horizontal="right"/>
      <protection/>
    </xf>
    <xf numFmtId="0" fontId="33" fillId="0" borderId="0" xfId="62" applyFont="1" applyBorder="1">
      <alignment/>
      <protection/>
    </xf>
    <xf numFmtId="164" fontId="50" fillId="0" borderId="0" xfId="62" applyNumberFormat="1" applyFont="1" applyAlignment="1">
      <alignment horizontal="right"/>
      <protection/>
    </xf>
    <xf numFmtId="0" fontId="51" fillId="0" borderId="0" xfId="62" applyFont="1">
      <alignment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2" fillId="0" borderId="20" xfId="62" applyFont="1" applyBorder="1" applyAlignment="1">
      <alignment horizontal="center" vertical="center" wrapText="1"/>
      <protection/>
    </xf>
    <xf numFmtId="0" fontId="25" fillId="0" borderId="21" xfId="62" applyFont="1" applyBorder="1" applyAlignment="1">
      <alignment horizontal="center" vertical="center" wrapText="1"/>
      <protection/>
    </xf>
    <xf numFmtId="0" fontId="25" fillId="0" borderId="13" xfId="62" applyFont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22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3" fontId="33" fillId="0" borderId="14" xfId="62" applyNumberFormat="1" applyFont="1" applyBorder="1" applyAlignment="1">
      <alignment horizontal="left" vertical="center"/>
      <protection/>
    </xf>
    <xf numFmtId="3" fontId="33" fillId="0" borderId="10" xfId="62" applyNumberFormat="1" applyFont="1" applyBorder="1" applyAlignment="1">
      <alignment horizontal="center" vertical="center"/>
      <protection/>
    </xf>
    <xf numFmtId="14" fontId="33" fillId="0" borderId="10" xfId="62" applyNumberFormat="1" applyFont="1" applyBorder="1" applyAlignment="1">
      <alignment horizontal="center" vertical="center"/>
      <protection/>
    </xf>
    <xf numFmtId="3" fontId="33" fillId="0" borderId="10" xfId="62" applyNumberFormat="1" applyFont="1" applyBorder="1" applyAlignment="1">
      <alignment horizontal="right" vertical="center" indent="1"/>
      <protection/>
    </xf>
    <xf numFmtId="3" fontId="33" fillId="0" borderId="10" xfId="62" applyNumberFormat="1" applyFont="1" applyBorder="1" applyAlignment="1">
      <alignment horizontal="right" indent="1"/>
      <protection/>
    </xf>
    <xf numFmtId="3" fontId="33" fillId="0" borderId="22" xfId="62" applyNumberFormat="1" applyFont="1" applyBorder="1" applyAlignment="1">
      <alignment horizontal="right" vertical="center" indent="1"/>
      <protection/>
    </xf>
    <xf numFmtId="3" fontId="33" fillId="0" borderId="0" xfId="62" applyNumberFormat="1" applyFont="1" applyAlignment="1">
      <alignment horizontal="right"/>
      <protection/>
    </xf>
    <xf numFmtId="3" fontId="33" fillId="0" borderId="14" xfId="62" applyNumberFormat="1" applyFont="1" applyBorder="1" applyAlignment="1">
      <alignment horizontal="left" vertical="center" wrapText="1"/>
      <protection/>
    </xf>
    <xf numFmtId="3" fontId="33" fillId="0" borderId="10" xfId="62" applyNumberFormat="1" applyFont="1" applyBorder="1" applyAlignment="1">
      <alignment horizontal="center"/>
      <protection/>
    </xf>
    <xf numFmtId="3" fontId="49" fillId="0" borderId="0" xfId="62" applyNumberFormat="1" applyFont="1">
      <alignment/>
      <protection/>
    </xf>
    <xf numFmtId="3" fontId="33" fillId="0" borderId="10" xfId="62" applyNumberFormat="1" applyFont="1" applyBorder="1" applyAlignment="1">
      <alignment horizontal="center"/>
      <protection/>
    </xf>
    <xf numFmtId="3" fontId="33" fillId="0" borderId="23" xfId="62" applyNumberFormat="1" applyFont="1" applyBorder="1" applyAlignment="1">
      <alignment horizontal="left" vertical="center" wrapText="1"/>
      <protection/>
    </xf>
    <xf numFmtId="3" fontId="33" fillId="0" borderId="24" xfId="62" applyNumberFormat="1" applyFont="1" applyBorder="1" applyAlignment="1">
      <alignment horizontal="center"/>
      <protection/>
    </xf>
    <xf numFmtId="3" fontId="33" fillId="0" borderId="24" xfId="62" applyNumberFormat="1" applyFont="1" applyBorder="1" applyAlignment="1">
      <alignment horizontal="center" vertical="center"/>
      <protection/>
    </xf>
    <xf numFmtId="49" fontId="33" fillId="0" borderId="24" xfId="62" applyNumberFormat="1" applyFont="1" applyBorder="1" applyAlignment="1">
      <alignment horizontal="center"/>
      <protection/>
    </xf>
    <xf numFmtId="3" fontId="33" fillId="0" borderId="24" xfId="62" applyNumberFormat="1" applyFont="1" applyBorder="1" applyAlignment="1">
      <alignment horizontal="right" indent="1"/>
      <protection/>
    </xf>
    <xf numFmtId="3" fontId="33" fillId="0" borderId="24" xfId="62" applyNumberFormat="1" applyFont="1" applyBorder="1" applyAlignment="1">
      <alignment horizontal="right" vertical="center" indent="1"/>
      <protection/>
    </xf>
    <xf numFmtId="3" fontId="33" fillId="0" borderId="25" xfId="62" applyNumberFormat="1" applyFont="1" applyBorder="1" applyAlignment="1">
      <alignment horizontal="right" vertical="center" indent="1"/>
      <protection/>
    </xf>
    <xf numFmtId="3" fontId="49" fillId="0" borderId="26" xfId="62" applyNumberFormat="1" applyFont="1" applyBorder="1" applyAlignment="1">
      <alignment horizontal="left" vertical="center"/>
      <protection/>
    </xf>
    <xf numFmtId="3" fontId="49" fillId="0" borderId="27" xfId="62" applyNumberFormat="1" applyFont="1" applyBorder="1" applyAlignment="1">
      <alignment horizontal="center" vertical="center"/>
      <protection/>
    </xf>
    <xf numFmtId="3" fontId="49" fillId="0" borderId="27" xfId="62" applyNumberFormat="1" applyFont="1" applyBorder="1" applyAlignment="1">
      <alignment horizontal="right" vertical="center"/>
      <protection/>
    </xf>
    <xf numFmtId="3" fontId="49" fillId="15" borderId="27" xfId="62" applyNumberFormat="1" applyFont="1" applyFill="1" applyBorder="1" applyAlignment="1">
      <alignment horizontal="right" vertical="center"/>
      <protection/>
    </xf>
    <xf numFmtId="3" fontId="49" fillId="15" borderId="28" xfId="62" applyNumberFormat="1" applyFont="1" applyFill="1" applyBorder="1" applyAlignment="1">
      <alignment horizontal="right" vertical="center"/>
      <protection/>
    </xf>
    <xf numFmtId="3" fontId="49" fillId="0" borderId="0" xfId="62" applyNumberFormat="1" applyFont="1" applyAlignment="1">
      <alignment horizontal="center" vertical="center"/>
      <protection/>
    </xf>
    <xf numFmtId="3" fontId="49" fillId="0" borderId="29" xfId="62" applyNumberFormat="1" applyFont="1" applyBorder="1" applyAlignment="1">
      <alignment horizontal="center" vertical="center" wrapText="1"/>
      <protection/>
    </xf>
    <xf numFmtId="3" fontId="33" fillId="0" borderId="30" xfId="62" applyNumberFormat="1" applyFont="1" applyBorder="1" applyAlignment="1">
      <alignment vertical="center"/>
      <protection/>
    </xf>
    <xf numFmtId="3" fontId="49" fillId="15" borderId="30" xfId="62" applyNumberFormat="1" applyFont="1" applyFill="1" applyBorder="1" applyAlignment="1">
      <alignment vertical="center"/>
      <protection/>
    </xf>
    <xf numFmtId="3" fontId="49" fillId="15" borderId="31" xfId="62" applyNumberFormat="1" applyFont="1" applyFill="1" applyBorder="1" applyAlignment="1">
      <alignment vertical="center"/>
      <protection/>
    </xf>
    <xf numFmtId="3" fontId="33" fillId="0" borderId="0" xfId="62" applyNumberFormat="1" applyFont="1" applyAlignment="1">
      <alignment vertical="center"/>
      <protection/>
    </xf>
    <xf numFmtId="0" fontId="49" fillId="0" borderId="30" xfId="62" applyFont="1" applyBorder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33" fillId="0" borderId="0" xfId="62" applyFont="1" applyAlignment="1">
      <alignment horizontal="center"/>
      <protection/>
    </xf>
    <xf numFmtId="164" fontId="33" fillId="0" borderId="0" xfId="62" applyNumberFormat="1" applyFont="1">
      <alignment/>
      <protection/>
    </xf>
    <xf numFmtId="0" fontId="49" fillId="0" borderId="0" xfId="62" applyFont="1" applyAlignment="1">
      <alignment horizontal="center" vertical="center" wrapText="1"/>
      <protection/>
    </xf>
    <xf numFmtId="0" fontId="33" fillId="0" borderId="0" xfId="62" applyFont="1" applyAlignment="1">
      <alignment horizontal="center" vertical="center" wrapText="1"/>
      <protection/>
    </xf>
    <xf numFmtId="0" fontId="50" fillId="0" borderId="0" xfId="62" applyFont="1" applyAlignment="1">
      <alignment horizontal="right" vertical="center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3" fontId="33" fillId="24" borderId="10" xfId="62" applyNumberFormat="1" applyFont="1" applyFill="1" applyBorder="1">
      <alignment/>
      <protection/>
    </xf>
    <xf numFmtId="3" fontId="33" fillId="0" borderId="10" xfId="62" applyNumberFormat="1" applyFont="1" applyBorder="1">
      <alignment/>
      <protection/>
    </xf>
    <xf numFmtId="3" fontId="51" fillId="0" borderId="0" xfId="62" applyNumberFormat="1" applyFont="1">
      <alignment/>
      <protection/>
    </xf>
    <xf numFmtId="0" fontId="49" fillId="0" borderId="0" xfId="62" applyFont="1">
      <alignment/>
      <protection/>
    </xf>
    <xf numFmtId="0" fontId="49" fillId="24" borderId="10" xfId="62" applyFont="1" applyFill="1" applyBorder="1" applyAlignment="1">
      <alignment horizontal="left" vertical="center" wrapText="1"/>
      <protection/>
    </xf>
    <xf numFmtId="3" fontId="33" fillId="24" borderId="10" xfId="62" applyNumberFormat="1" applyFont="1" applyFill="1" applyBorder="1" applyAlignment="1">
      <alignment vertical="center"/>
      <protection/>
    </xf>
    <xf numFmtId="0" fontId="51" fillId="0" borderId="10" xfId="62" applyFont="1" applyBorder="1">
      <alignment/>
      <protection/>
    </xf>
    <xf numFmtId="0" fontId="49" fillId="15" borderId="10" xfId="62" applyFont="1" applyFill="1" applyBorder="1" applyAlignment="1">
      <alignment horizontal="left" vertical="center" wrapText="1"/>
      <protection/>
    </xf>
    <xf numFmtId="3" fontId="33" fillId="15" borderId="10" xfId="62" applyNumberFormat="1" applyFont="1" applyFill="1" applyBorder="1" applyAlignment="1">
      <alignment vertical="center"/>
      <protection/>
    </xf>
    <xf numFmtId="3" fontId="49" fillId="15" borderId="10" xfId="62" applyNumberFormat="1" applyFont="1" applyFill="1" applyBorder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50" fillId="0" borderId="0" xfId="62" applyFont="1">
      <alignment/>
      <protection/>
    </xf>
    <xf numFmtId="3" fontId="50" fillId="0" borderId="0" xfId="62" applyNumberFormat="1" applyFont="1">
      <alignment/>
      <protection/>
    </xf>
    <xf numFmtId="0" fontId="49" fillId="15" borderId="15" xfId="62" applyFont="1" applyFill="1" applyBorder="1" applyAlignment="1">
      <alignment horizontal="left" vertical="center" wrapText="1"/>
      <protection/>
    </xf>
    <xf numFmtId="0" fontId="33" fillId="0" borderId="0" xfId="62" applyFont="1" applyAlignment="1">
      <alignment vertical="center"/>
      <protection/>
    </xf>
    <xf numFmtId="0" fontId="49" fillId="0" borderId="10" xfId="62" applyFont="1" applyBorder="1" applyAlignment="1">
      <alignment vertical="center" wrapText="1"/>
      <protection/>
    </xf>
    <xf numFmtId="3" fontId="33" fillId="0" borderId="10" xfId="62" applyNumberFormat="1" applyFont="1" applyBorder="1" applyAlignment="1">
      <alignment vertical="center"/>
      <protection/>
    </xf>
    <xf numFmtId="3" fontId="49" fillId="0" borderId="10" xfId="62" applyNumberFormat="1" applyFont="1" applyBorder="1" applyAlignment="1">
      <alignment vertical="center"/>
      <protection/>
    </xf>
    <xf numFmtId="0" fontId="49" fillId="0" borderId="0" xfId="62" applyFont="1" applyAlignment="1">
      <alignment vertical="center" wrapText="1"/>
      <protection/>
    </xf>
    <xf numFmtId="0" fontId="49" fillId="15" borderId="10" xfId="62" applyFont="1" applyFill="1" applyBorder="1" applyAlignment="1">
      <alignment vertical="center" wrapText="1"/>
      <protection/>
    </xf>
    <xf numFmtId="0" fontId="57" fillId="0" borderId="0" xfId="57" applyFont="1" applyAlignment="1">
      <alignment horizontal="center"/>
      <protection/>
    </xf>
    <xf numFmtId="3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3" fontId="56" fillId="0" borderId="0" xfId="57" applyNumberFormat="1" applyFont="1">
      <alignment/>
      <protection/>
    </xf>
    <xf numFmtId="0" fontId="56" fillId="0" borderId="0" xfId="57" applyFont="1">
      <alignment/>
      <protection/>
    </xf>
    <xf numFmtId="0" fontId="19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3" fontId="59" fillId="0" borderId="0" xfId="57" applyNumberFormat="1" applyFont="1" applyAlignment="1">
      <alignment horizontal="right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3" fontId="19" fillId="0" borderId="0" xfId="57" applyNumberFormat="1" applyFont="1" applyAlignment="1">
      <alignment horizontal="center" vertical="center"/>
      <protection/>
    </xf>
    <xf numFmtId="0" fontId="19" fillId="0" borderId="0" xfId="57" applyFont="1" applyAlignment="1">
      <alignment horizontal="center" vertical="center"/>
      <protection/>
    </xf>
    <xf numFmtId="169" fontId="19" fillId="0" borderId="0" xfId="57" applyNumberFormat="1" applyFont="1" applyAlignment="1">
      <alignment horizontal="center" vertical="center"/>
      <protection/>
    </xf>
    <xf numFmtId="0" fontId="19" fillId="0" borderId="24" xfId="57" applyFont="1" applyBorder="1" applyAlignment="1">
      <alignment horizontal="left" vertic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3" fontId="19" fillId="24" borderId="15" xfId="57" applyNumberFormat="1" applyFont="1" applyFill="1" applyBorder="1" applyAlignment="1">
      <alignment vertical="center"/>
      <protection/>
    </xf>
    <xf numFmtId="3" fontId="19" fillId="24" borderId="10" xfId="57" applyNumberFormat="1" applyFont="1" applyFill="1" applyBorder="1" applyAlignment="1">
      <alignment vertical="center"/>
      <protection/>
    </xf>
    <xf numFmtId="3" fontId="20" fillId="24" borderId="0" xfId="57" applyNumberFormat="1" applyFont="1" applyFill="1" applyAlignment="1">
      <alignment vertical="center"/>
      <protection/>
    </xf>
    <xf numFmtId="0" fontId="20" fillId="24" borderId="0" xfId="57" applyFont="1" applyFill="1" applyAlignment="1">
      <alignment vertical="center"/>
      <protection/>
    </xf>
    <xf numFmtId="0" fontId="19" fillId="24" borderId="24" xfId="57" applyFont="1" applyFill="1" applyBorder="1" applyAlignment="1">
      <alignment horizontal="left" vertical="center"/>
      <protection/>
    </xf>
    <xf numFmtId="3" fontId="19" fillId="0" borderId="0" xfId="57" applyNumberFormat="1" applyFont="1" applyBorder="1">
      <alignment/>
      <protection/>
    </xf>
    <xf numFmtId="0" fontId="14" fillId="0" borderId="0" xfId="58">
      <alignment/>
      <protection/>
    </xf>
    <xf numFmtId="0" fontId="14" fillId="0" borderId="32" xfId="58" applyBorder="1" applyAlignment="1">
      <alignment horizontal="right"/>
      <protection/>
    </xf>
    <xf numFmtId="0" fontId="14" fillId="0" borderId="33" xfId="58" applyFont="1" applyBorder="1" applyAlignment="1">
      <alignment horizontal="center" vertical="center"/>
      <protection/>
    </xf>
    <xf numFmtId="0" fontId="60" fillId="0" borderId="33" xfId="58" applyFont="1" applyBorder="1" applyAlignment="1">
      <alignment horizontal="center" vertical="center"/>
      <protection/>
    </xf>
    <xf numFmtId="0" fontId="60" fillId="0" borderId="34" xfId="58" applyFont="1" applyBorder="1" applyAlignment="1">
      <alignment horizontal="center" vertical="center"/>
      <protection/>
    </xf>
    <xf numFmtId="0" fontId="60" fillId="0" borderId="35" xfId="58" applyFont="1" applyBorder="1" applyAlignment="1">
      <alignment horizontal="center" vertical="center"/>
      <protection/>
    </xf>
    <xf numFmtId="0" fontId="14" fillId="0" borderId="36" xfId="58" applyFont="1" applyBorder="1" applyAlignment="1">
      <alignment horizontal="center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14" fillId="0" borderId="37" xfId="58" applyFont="1" applyBorder="1" applyAlignment="1">
      <alignment horizontal="center" vertical="center"/>
      <protection/>
    </xf>
    <xf numFmtId="0" fontId="14" fillId="0" borderId="32" xfId="58" applyBorder="1" applyAlignment="1">
      <alignment horizontal="center" vertical="center"/>
      <protection/>
    </xf>
    <xf numFmtId="0" fontId="14" fillId="0" borderId="38" xfId="58" applyBorder="1" applyAlignment="1">
      <alignment horizontal="center" vertical="center"/>
      <protection/>
    </xf>
    <xf numFmtId="0" fontId="14" fillId="0" borderId="39" xfId="58" applyBorder="1" applyAlignment="1">
      <alignment horizontal="center" vertical="center"/>
      <protection/>
    </xf>
    <xf numFmtId="0" fontId="14" fillId="0" borderId="40" xfId="58" applyBorder="1" applyAlignment="1">
      <alignment horizontal="center" vertical="center"/>
      <protection/>
    </xf>
    <xf numFmtId="0" fontId="14" fillId="0" borderId="41" xfId="58" applyBorder="1" applyAlignment="1">
      <alignment horizontal="center" vertical="center"/>
      <protection/>
    </xf>
    <xf numFmtId="0" fontId="14" fillId="0" borderId="42" xfId="58" applyBorder="1" applyAlignment="1">
      <alignment horizontal="center" vertical="center"/>
      <protection/>
    </xf>
    <xf numFmtId="0" fontId="14" fillId="0" borderId="43" xfId="58" applyFont="1" applyBorder="1" applyAlignment="1">
      <alignment vertical="center"/>
      <protection/>
    </xf>
    <xf numFmtId="3" fontId="14" fillId="0" borderId="44" xfId="58" applyNumberFormat="1" applyFont="1" applyBorder="1" applyAlignment="1">
      <alignment horizontal="center" vertical="center"/>
      <protection/>
    </xf>
    <xf numFmtId="3" fontId="14" fillId="0" borderId="45" xfId="58" applyNumberFormat="1" applyFont="1" applyBorder="1" applyAlignment="1">
      <alignment horizontal="center" vertical="center"/>
      <protection/>
    </xf>
    <xf numFmtId="3" fontId="14" fillId="0" borderId="46" xfId="58" applyNumberFormat="1" applyFont="1" applyBorder="1" applyAlignment="1">
      <alignment horizontal="center" vertical="center"/>
      <protection/>
    </xf>
    <xf numFmtId="3" fontId="14" fillId="0" borderId="47" xfId="58" applyNumberFormat="1" applyFont="1" applyBorder="1" applyAlignment="1">
      <alignment horizontal="center" vertical="center"/>
      <protection/>
    </xf>
    <xf numFmtId="3" fontId="14" fillId="0" borderId="48" xfId="58" applyNumberFormat="1" applyFont="1" applyBorder="1" applyAlignment="1">
      <alignment horizontal="center" vertical="center"/>
      <protection/>
    </xf>
    <xf numFmtId="3" fontId="14" fillId="0" borderId="49" xfId="58" applyNumberFormat="1" applyFont="1" applyBorder="1" applyAlignment="1">
      <alignment horizontal="center" vertical="center"/>
      <protection/>
    </xf>
    <xf numFmtId="3" fontId="14" fillId="0" borderId="50" xfId="58" applyNumberFormat="1" applyFont="1" applyBorder="1" applyAlignment="1">
      <alignment horizontal="center" vertical="center"/>
      <protection/>
    </xf>
    <xf numFmtId="3" fontId="14" fillId="0" borderId="44" xfId="58" applyNumberFormat="1" applyFont="1" applyBorder="1" applyAlignment="1">
      <alignment horizontal="right" vertical="center"/>
      <protection/>
    </xf>
    <xf numFmtId="3" fontId="14" fillId="0" borderId="51" xfId="58" applyNumberFormat="1" applyFont="1" applyBorder="1" applyAlignment="1">
      <alignment horizontal="right" vertical="center"/>
      <protection/>
    </xf>
    <xf numFmtId="3" fontId="14" fillId="0" borderId="47" xfId="58" applyNumberFormat="1" applyFont="1" applyBorder="1" applyAlignment="1">
      <alignment horizontal="right" vertical="center"/>
      <protection/>
    </xf>
    <xf numFmtId="0" fontId="14" fillId="0" borderId="0" xfId="58" applyFont="1" applyAlignment="1">
      <alignment vertical="center"/>
      <protection/>
    </xf>
    <xf numFmtId="0" fontId="14" fillId="0" borderId="52" xfId="58" applyFont="1" applyBorder="1" applyAlignment="1">
      <alignment vertical="center"/>
      <protection/>
    </xf>
    <xf numFmtId="3" fontId="14" fillId="0" borderId="53" xfId="58" applyNumberFormat="1" applyFont="1" applyBorder="1" applyAlignment="1">
      <alignment horizontal="center" vertical="center"/>
      <protection/>
    </xf>
    <xf numFmtId="3" fontId="14" fillId="0" borderId="54" xfId="58" applyNumberFormat="1" applyFont="1" applyBorder="1" applyAlignment="1">
      <alignment horizontal="center" vertical="center"/>
      <protection/>
    </xf>
    <xf numFmtId="3" fontId="14" fillId="0" borderId="55" xfId="58" applyNumberFormat="1" applyFont="1" applyBorder="1" applyAlignment="1">
      <alignment horizontal="center" vertical="center"/>
      <protection/>
    </xf>
    <xf numFmtId="0" fontId="14" fillId="0" borderId="56" xfId="58" applyFont="1" applyBorder="1" applyAlignment="1">
      <alignment horizontal="center" vertical="center"/>
      <protection/>
    </xf>
    <xf numFmtId="3" fontId="14" fillId="0" borderId="56" xfId="58" applyNumberFormat="1" applyFont="1" applyBorder="1" applyAlignment="1">
      <alignment horizontal="center" vertical="center"/>
      <protection/>
    </xf>
    <xf numFmtId="3" fontId="14" fillId="0" borderId="57" xfId="58" applyNumberFormat="1" applyFont="1" applyBorder="1" applyAlignment="1">
      <alignment horizontal="center" vertical="center"/>
      <protection/>
    </xf>
    <xf numFmtId="3" fontId="14" fillId="0" borderId="58" xfId="58" applyNumberFormat="1" applyFont="1" applyBorder="1" applyAlignment="1">
      <alignment horizontal="center" vertical="center"/>
      <protection/>
    </xf>
    <xf numFmtId="3" fontId="14" fillId="0" borderId="59" xfId="58" applyNumberFormat="1" applyFont="1" applyBorder="1" applyAlignment="1">
      <alignment horizontal="center" vertical="center"/>
      <protection/>
    </xf>
    <xf numFmtId="3" fontId="14" fillId="0" borderId="53" xfId="58" applyNumberFormat="1" applyFont="1" applyBorder="1" applyAlignment="1">
      <alignment horizontal="right" vertical="center"/>
      <protection/>
    </xf>
    <xf numFmtId="3" fontId="14" fillId="0" borderId="54" xfId="58" applyNumberFormat="1" applyFont="1" applyBorder="1" applyAlignment="1">
      <alignment horizontal="right" vertical="center"/>
      <protection/>
    </xf>
    <xf numFmtId="3" fontId="14" fillId="0" borderId="56" xfId="58" applyNumberFormat="1" applyFont="1" applyBorder="1" applyAlignment="1">
      <alignment horizontal="right" vertical="center"/>
      <protection/>
    </xf>
    <xf numFmtId="0" fontId="14" fillId="0" borderId="52" xfId="58" applyFont="1" applyFill="1" applyBorder="1" applyAlignment="1">
      <alignment vertical="center"/>
      <protection/>
    </xf>
    <xf numFmtId="0" fontId="14" fillId="0" borderId="0" xfId="58" applyFont="1" applyFill="1" applyAlignment="1">
      <alignment vertical="center"/>
      <protection/>
    </xf>
    <xf numFmtId="3" fontId="14" fillId="0" borderId="53" xfId="58" applyNumberFormat="1" applyFont="1" applyFill="1" applyBorder="1" applyAlignment="1">
      <alignment horizontal="center" vertical="center"/>
      <protection/>
    </xf>
    <xf numFmtId="3" fontId="14" fillId="0" borderId="54" xfId="58" applyNumberFormat="1" applyFont="1" applyFill="1" applyBorder="1" applyAlignment="1">
      <alignment horizontal="center" vertical="center"/>
      <protection/>
    </xf>
    <xf numFmtId="3" fontId="14" fillId="0" borderId="56" xfId="58" applyNumberFormat="1" applyFont="1" applyFill="1" applyBorder="1" applyAlignment="1">
      <alignment horizontal="center" vertical="center"/>
      <protection/>
    </xf>
    <xf numFmtId="3" fontId="14" fillId="0" borderId="57" xfId="58" applyNumberFormat="1" applyFont="1" applyFill="1" applyBorder="1" applyAlignment="1">
      <alignment horizontal="center" vertical="center"/>
      <protection/>
    </xf>
    <xf numFmtId="3" fontId="14" fillId="0" borderId="58" xfId="58" applyNumberFormat="1" applyFont="1" applyFill="1" applyBorder="1" applyAlignment="1">
      <alignment horizontal="center" vertical="center"/>
      <protection/>
    </xf>
    <xf numFmtId="3" fontId="14" fillId="0" borderId="59" xfId="58" applyNumberFormat="1" applyFont="1" applyFill="1" applyBorder="1" applyAlignment="1">
      <alignment horizontal="center" vertical="center"/>
      <protection/>
    </xf>
    <xf numFmtId="0" fontId="14" fillId="0" borderId="60" xfId="58" applyFont="1" applyFill="1" applyBorder="1" applyAlignment="1">
      <alignment vertical="center"/>
      <protection/>
    </xf>
    <xf numFmtId="3" fontId="14" fillId="0" borderId="61" xfId="58" applyNumberFormat="1" applyFont="1" applyBorder="1" applyAlignment="1">
      <alignment horizontal="center" vertical="center"/>
      <protection/>
    </xf>
    <xf numFmtId="3" fontId="14" fillId="0" borderId="62" xfId="58" applyNumberFormat="1" applyFont="1" applyBorder="1" applyAlignment="1">
      <alignment horizontal="center" vertical="center"/>
      <protection/>
    </xf>
    <xf numFmtId="3" fontId="14" fillId="0" borderId="63" xfId="58" applyNumberFormat="1" applyFont="1" applyBorder="1" applyAlignment="1">
      <alignment horizontal="center" vertical="center"/>
      <protection/>
    </xf>
    <xf numFmtId="0" fontId="14" fillId="0" borderId="64" xfId="58" applyFont="1" applyBorder="1" applyAlignment="1">
      <alignment horizontal="center" vertical="center"/>
      <protection/>
    </xf>
    <xf numFmtId="3" fontId="14" fillId="0" borderId="65" xfId="58" applyNumberFormat="1" applyFont="1" applyBorder="1" applyAlignment="1">
      <alignment horizontal="center" vertical="center"/>
      <protection/>
    </xf>
    <xf numFmtId="3" fontId="14" fillId="0" borderId="66" xfId="58" applyNumberFormat="1" applyFont="1" applyBorder="1" applyAlignment="1">
      <alignment horizontal="center" vertical="center"/>
      <protection/>
    </xf>
    <xf numFmtId="3" fontId="14" fillId="0" borderId="67" xfId="58" applyNumberFormat="1" applyFont="1" applyBorder="1" applyAlignment="1">
      <alignment horizontal="center" vertical="center"/>
      <protection/>
    </xf>
    <xf numFmtId="3" fontId="14" fillId="0" borderId="65" xfId="58" applyNumberFormat="1" applyFont="1" applyFill="1" applyBorder="1" applyAlignment="1">
      <alignment horizontal="center" vertical="center"/>
      <protection/>
    </xf>
    <xf numFmtId="3" fontId="14" fillId="0" borderId="66" xfId="58" applyNumberFormat="1" applyFont="1" applyFill="1" applyBorder="1" applyAlignment="1">
      <alignment horizontal="center" vertical="center"/>
      <protection/>
    </xf>
    <xf numFmtId="3" fontId="14" fillId="0" borderId="67" xfId="58" applyNumberFormat="1" applyFont="1" applyFill="1" applyBorder="1" applyAlignment="1">
      <alignment horizontal="center" vertical="center"/>
      <protection/>
    </xf>
    <xf numFmtId="3" fontId="14" fillId="0" borderId="68" xfId="58" applyNumberFormat="1" applyFont="1" applyFill="1" applyBorder="1" applyAlignment="1">
      <alignment horizontal="center" vertical="center"/>
      <protection/>
    </xf>
    <xf numFmtId="3" fontId="14" fillId="0" borderId="69" xfId="58" applyNumberFormat="1" applyFont="1" applyFill="1" applyBorder="1" applyAlignment="1">
      <alignment horizontal="center" vertical="center"/>
      <protection/>
    </xf>
    <xf numFmtId="3" fontId="14" fillId="0" borderId="70" xfId="58" applyNumberFormat="1" applyFont="1" applyFill="1" applyBorder="1" applyAlignment="1">
      <alignment horizontal="center" vertical="center"/>
      <protection/>
    </xf>
    <xf numFmtId="3" fontId="14" fillId="0" borderId="65" xfId="58" applyNumberFormat="1" applyFont="1" applyBorder="1" applyAlignment="1">
      <alignment horizontal="right" vertical="center"/>
      <protection/>
    </xf>
    <xf numFmtId="3" fontId="14" fillId="0" borderId="66" xfId="58" applyNumberFormat="1" applyFont="1" applyBorder="1" applyAlignment="1">
      <alignment horizontal="right" vertical="center"/>
      <protection/>
    </xf>
    <xf numFmtId="3" fontId="14" fillId="0" borderId="67" xfId="58" applyNumberFormat="1" applyFont="1" applyBorder="1" applyAlignment="1">
      <alignment horizontal="right" vertical="center"/>
      <protection/>
    </xf>
    <xf numFmtId="3" fontId="60" fillId="0" borderId="71" xfId="58" applyNumberFormat="1" applyFont="1" applyBorder="1" applyAlignment="1">
      <alignment horizontal="right" vertical="center"/>
      <protection/>
    </xf>
    <xf numFmtId="3" fontId="60" fillId="0" borderId="72" xfId="58" applyNumberFormat="1" applyFont="1" applyBorder="1" applyAlignment="1">
      <alignment horizontal="center" vertical="center"/>
      <protection/>
    </xf>
    <xf numFmtId="3" fontId="60" fillId="0" borderId="73" xfId="58" applyNumberFormat="1" applyFont="1" applyBorder="1" applyAlignment="1">
      <alignment horizontal="center" vertical="center"/>
      <protection/>
    </xf>
    <xf numFmtId="3" fontId="60" fillId="0" borderId="74" xfId="58" applyNumberFormat="1" applyFont="1" applyBorder="1" applyAlignment="1">
      <alignment horizontal="center" vertical="center"/>
      <protection/>
    </xf>
    <xf numFmtId="3" fontId="60" fillId="0" borderId="75" xfId="58" applyNumberFormat="1" applyFont="1" applyBorder="1" applyAlignment="1">
      <alignment horizontal="center" vertical="center"/>
      <protection/>
    </xf>
    <xf numFmtId="3" fontId="60" fillId="0" borderId="76" xfId="58" applyNumberFormat="1" applyFont="1" applyBorder="1" applyAlignment="1">
      <alignment horizontal="center" vertical="center"/>
      <protection/>
    </xf>
    <xf numFmtId="3" fontId="60" fillId="0" borderId="75" xfId="58" applyNumberFormat="1" applyFont="1" applyFill="1" applyBorder="1" applyAlignment="1">
      <alignment horizontal="center" vertical="center"/>
      <protection/>
    </xf>
    <xf numFmtId="3" fontId="60" fillId="0" borderId="73" xfId="58" applyNumberFormat="1" applyFont="1" applyFill="1" applyBorder="1" applyAlignment="1">
      <alignment horizontal="center" vertical="center"/>
      <protection/>
    </xf>
    <xf numFmtId="3" fontId="60" fillId="0" borderId="76" xfId="58" applyNumberFormat="1" applyFont="1" applyFill="1" applyBorder="1" applyAlignment="1">
      <alignment horizontal="center" vertical="center"/>
      <protection/>
    </xf>
    <xf numFmtId="3" fontId="60" fillId="0" borderId="77" xfId="58" applyNumberFormat="1" applyFont="1" applyFill="1" applyBorder="1" applyAlignment="1">
      <alignment horizontal="center" vertical="center"/>
      <protection/>
    </xf>
    <xf numFmtId="3" fontId="60" fillId="0" borderId="78" xfId="58" applyNumberFormat="1" applyFont="1" applyFill="1" applyBorder="1" applyAlignment="1">
      <alignment horizontal="center" vertical="center"/>
      <protection/>
    </xf>
    <xf numFmtId="3" fontId="60" fillId="0" borderId="79" xfId="58" applyNumberFormat="1" applyFont="1" applyFill="1" applyBorder="1" applyAlignment="1">
      <alignment horizontal="center" vertical="center"/>
      <protection/>
    </xf>
    <xf numFmtId="3" fontId="60" fillId="0" borderId="75" xfId="58" applyNumberFormat="1" applyFont="1" applyBorder="1" applyAlignment="1">
      <alignment horizontal="right" vertical="center"/>
      <protection/>
    </xf>
    <xf numFmtId="3" fontId="60" fillId="0" borderId="73" xfId="58" applyNumberFormat="1" applyFont="1" applyBorder="1" applyAlignment="1">
      <alignment horizontal="right" vertical="center"/>
      <protection/>
    </xf>
    <xf numFmtId="3" fontId="60" fillId="0" borderId="76" xfId="58" applyNumberFormat="1" applyFont="1" applyBorder="1" applyAlignment="1">
      <alignment horizontal="right" vertical="center"/>
      <protection/>
    </xf>
    <xf numFmtId="3" fontId="60" fillId="0" borderId="0" xfId="58" applyNumberFormat="1" applyFont="1" applyAlignment="1">
      <alignment horizontal="right" vertical="center"/>
      <protection/>
    </xf>
    <xf numFmtId="3" fontId="14" fillId="0" borderId="80" xfId="58" applyNumberFormat="1" applyFont="1" applyBorder="1" applyAlignment="1">
      <alignment horizontal="left" vertical="center"/>
      <protection/>
    </xf>
    <xf numFmtId="3" fontId="14" fillId="0" borderId="81" xfId="58" applyNumberFormat="1" applyFont="1" applyBorder="1" applyAlignment="1">
      <alignment horizontal="center" vertical="center"/>
      <protection/>
    </xf>
    <xf numFmtId="3" fontId="14" fillId="0" borderId="82" xfId="58" applyNumberFormat="1" applyFont="1" applyBorder="1" applyAlignment="1">
      <alignment horizontal="center" vertical="center"/>
      <protection/>
    </xf>
    <xf numFmtId="3" fontId="14" fillId="0" borderId="83" xfId="58" applyNumberFormat="1" applyFont="1" applyBorder="1" applyAlignment="1">
      <alignment horizontal="center" vertical="center"/>
      <protection/>
    </xf>
    <xf numFmtId="3" fontId="14" fillId="0" borderId="84" xfId="58" applyNumberFormat="1" applyFont="1" applyBorder="1" applyAlignment="1">
      <alignment horizontal="center" vertical="center"/>
      <protection/>
    </xf>
    <xf numFmtId="3" fontId="14" fillId="0" borderId="85" xfId="58" applyNumberFormat="1" applyFont="1" applyBorder="1" applyAlignment="1">
      <alignment horizontal="center" vertical="center"/>
      <protection/>
    </xf>
    <xf numFmtId="3" fontId="14" fillId="0" borderId="83" xfId="58" applyNumberFormat="1" applyFont="1" applyFill="1" applyBorder="1" applyAlignment="1">
      <alignment horizontal="center" vertical="center"/>
      <protection/>
    </xf>
    <xf numFmtId="3" fontId="14" fillId="0" borderId="84" xfId="58" applyNumberFormat="1" applyFont="1" applyFill="1" applyBorder="1" applyAlignment="1">
      <alignment horizontal="center" vertical="center"/>
      <protection/>
    </xf>
    <xf numFmtId="3" fontId="14" fillId="0" borderId="85" xfId="58" applyNumberFormat="1" applyFont="1" applyFill="1" applyBorder="1" applyAlignment="1">
      <alignment horizontal="center" vertical="center"/>
      <protection/>
    </xf>
    <xf numFmtId="3" fontId="14" fillId="0" borderId="86" xfId="58" applyNumberFormat="1" applyFont="1" applyFill="1" applyBorder="1" applyAlignment="1">
      <alignment horizontal="center" vertical="center"/>
      <protection/>
    </xf>
    <xf numFmtId="3" fontId="14" fillId="0" borderId="87" xfId="58" applyNumberFormat="1" applyFont="1" applyFill="1" applyBorder="1" applyAlignment="1">
      <alignment horizontal="center" vertical="center"/>
      <protection/>
    </xf>
    <xf numFmtId="3" fontId="14" fillId="0" borderId="88" xfId="58" applyNumberFormat="1" applyFont="1" applyFill="1" applyBorder="1" applyAlignment="1">
      <alignment horizontal="center" vertical="center"/>
      <protection/>
    </xf>
    <xf numFmtId="3" fontId="14" fillId="0" borderId="83" xfId="58" applyNumberFormat="1" applyFont="1" applyBorder="1" applyAlignment="1">
      <alignment horizontal="right" vertical="center"/>
      <protection/>
    </xf>
    <xf numFmtId="3" fontId="14" fillId="0" borderId="84" xfId="58" applyNumberFormat="1" applyFont="1" applyBorder="1" applyAlignment="1">
      <alignment horizontal="right" vertical="center"/>
      <protection/>
    </xf>
    <xf numFmtId="3" fontId="14" fillId="0" borderId="85" xfId="58" applyNumberFormat="1" applyFont="1" applyBorder="1" applyAlignment="1">
      <alignment horizontal="right" vertical="center"/>
      <protection/>
    </xf>
    <xf numFmtId="3" fontId="14" fillId="0" borderId="0" xfId="58" applyNumberFormat="1" applyFont="1" applyAlignment="1">
      <alignment horizontal="right" vertical="center"/>
      <protection/>
    </xf>
    <xf numFmtId="3" fontId="60" fillId="0" borderId="71" xfId="58" applyNumberFormat="1" applyFont="1" applyBorder="1" applyAlignment="1">
      <alignment horizontal="left" vertical="center"/>
      <protection/>
    </xf>
    <xf numFmtId="3" fontId="60" fillId="0" borderId="72" xfId="58" applyNumberFormat="1" applyFont="1" applyFill="1" applyBorder="1" applyAlignment="1">
      <alignment horizontal="center" vertical="center"/>
      <protection/>
    </xf>
    <xf numFmtId="3" fontId="60" fillId="0" borderId="74" xfId="58" applyNumberFormat="1" applyFont="1" applyFill="1" applyBorder="1" applyAlignment="1">
      <alignment horizontal="center" vertical="center"/>
      <protection/>
    </xf>
    <xf numFmtId="3" fontId="60" fillId="0" borderId="77" xfId="58" applyNumberFormat="1" applyFont="1" applyBorder="1" applyAlignment="1">
      <alignment horizontal="center" vertical="center"/>
      <protection/>
    </xf>
    <xf numFmtId="3" fontId="60" fillId="0" borderId="78" xfId="58" applyNumberFormat="1" applyFont="1" applyBorder="1" applyAlignment="1">
      <alignment horizontal="center" vertical="center"/>
      <protection/>
    </xf>
    <xf numFmtId="3" fontId="60" fillId="0" borderId="79" xfId="58" applyNumberFormat="1" applyFont="1" applyBorder="1" applyAlignment="1">
      <alignment horizontal="center" vertical="center"/>
      <protection/>
    </xf>
    <xf numFmtId="3" fontId="14" fillId="0" borderId="0" xfId="58" applyNumberFormat="1" applyAlignment="1">
      <alignment horizontal="right"/>
      <protection/>
    </xf>
    <xf numFmtId="0" fontId="14" fillId="0" borderId="89" xfId="58" applyBorder="1" applyAlignment="1">
      <alignment horizontal="center"/>
      <protection/>
    </xf>
    <xf numFmtId="3" fontId="14" fillId="0" borderId="90" xfId="58" applyNumberFormat="1" applyBorder="1" applyAlignment="1">
      <alignment horizontal="center"/>
      <protection/>
    </xf>
    <xf numFmtId="3" fontId="14" fillId="0" borderId="89" xfId="58" applyNumberFormat="1" applyBorder="1" applyAlignment="1">
      <alignment horizontal="center"/>
      <protection/>
    </xf>
    <xf numFmtId="3" fontId="14" fillId="0" borderId="91" xfId="58" applyNumberFormat="1" applyBorder="1" applyAlignment="1">
      <alignment horizontal="center"/>
      <protection/>
    </xf>
    <xf numFmtId="0" fontId="14" fillId="0" borderId="0" xfId="58" applyAlignment="1">
      <alignment horizontal="center"/>
      <protection/>
    </xf>
    <xf numFmtId="0" fontId="14" fillId="0" borderId="92" xfId="58" applyBorder="1">
      <alignment/>
      <protection/>
    </xf>
    <xf numFmtId="0" fontId="14" fillId="0" borderId="93" xfId="58" applyBorder="1">
      <alignment/>
      <protection/>
    </xf>
    <xf numFmtId="3" fontId="14" fillId="0" borderId="92" xfId="58" applyNumberFormat="1" applyBorder="1" applyAlignment="1">
      <alignment horizontal="right"/>
      <protection/>
    </xf>
    <xf numFmtId="3" fontId="14" fillId="0" borderId="93" xfId="58" applyNumberFormat="1" applyBorder="1" applyAlignment="1">
      <alignment horizontal="left"/>
      <protection/>
    </xf>
    <xf numFmtId="3" fontId="14" fillId="0" borderId="94" xfId="58" applyNumberFormat="1" applyBorder="1" applyAlignment="1">
      <alignment horizontal="left"/>
      <protection/>
    </xf>
    <xf numFmtId="3" fontId="14" fillId="0" borderId="93" xfId="58" applyNumberFormat="1" applyBorder="1" applyAlignment="1">
      <alignment horizontal="right"/>
      <protection/>
    </xf>
    <xf numFmtId="3" fontId="14" fillId="0" borderId="94" xfId="58" applyNumberFormat="1" applyBorder="1" applyAlignment="1">
      <alignment horizontal="right"/>
      <protection/>
    </xf>
    <xf numFmtId="0" fontId="14" fillId="0" borderId="95" xfId="58" applyBorder="1">
      <alignment/>
      <protection/>
    </xf>
    <xf numFmtId="0" fontId="14" fillId="0" borderId="96" xfId="58" applyBorder="1">
      <alignment/>
      <protection/>
    </xf>
    <xf numFmtId="3" fontId="14" fillId="0" borderId="95" xfId="58" applyNumberFormat="1" applyBorder="1" applyAlignment="1">
      <alignment horizontal="right"/>
      <protection/>
    </xf>
    <xf numFmtId="3" fontId="14" fillId="0" borderId="96" xfId="58" applyNumberFormat="1" applyBorder="1" applyAlignment="1">
      <alignment horizontal="right"/>
      <protection/>
    </xf>
    <xf numFmtId="3" fontId="14" fillId="0" borderId="97" xfId="58" applyNumberFormat="1" applyBorder="1" applyAlignment="1">
      <alignment horizontal="right"/>
      <protection/>
    </xf>
    <xf numFmtId="3" fontId="14" fillId="0" borderId="96" xfId="58" applyNumberFormat="1" applyBorder="1" applyAlignment="1">
      <alignment horizontal="left"/>
      <protection/>
    </xf>
    <xf numFmtId="0" fontId="14" fillId="0" borderId="95" xfId="58" applyFont="1" applyBorder="1">
      <alignment/>
      <protection/>
    </xf>
    <xf numFmtId="0" fontId="14" fillId="0" borderId="98" xfId="58" applyBorder="1">
      <alignment/>
      <protection/>
    </xf>
    <xf numFmtId="0" fontId="14" fillId="0" borderId="99" xfId="58" applyBorder="1">
      <alignment/>
      <protection/>
    </xf>
    <xf numFmtId="3" fontId="14" fillId="0" borderId="98" xfId="58" applyNumberFormat="1" applyBorder="1" applyAlignment="1">
      <alignment horizontal="right"/>
      <protection/>
    </xf>
    <xf numFmtId="3" fontId="14" fillId="0" borderId="99" xfId="58" applyNumberFormat="1" applyBorder="1" applyAlignment="1">
      <alignment horizontal="right"/>
      <protection/>
    </xf>
    <xf numFmtId="3" fontId="14" fillId="0" borderId="100" xfId="58" applyNumberFormat="1" applyBorder="1" applyAlignment="1">
      <alignment horizontal="right"/>
      <protection/>
    </xf>
    <xf numFmtId="0" fontId="60" fillId="0" borderId="72" xfId="58" applyFont="1" applyBorder="1" applyAlignment="1">
      <alignment vertical="center"/>
      <protection/>
    </xf>
    <xf numFmtId="0" fontId="60" fillId="0" borderId="101" xfId="58" applyFont="1" applyBorder="1" applyAlignment="1">
      <alignment vertical="center"/>
      <protection/>
    </xf>
    <xf numFmtId="3" fontId="60" fillId="0" borderId="72" xfId="58" applyNumberFormat="1" applyFont="1" applyBorder="1" applyAlignment="1">
      <alignment horizontal="right" vertical="center"/>
      <protection/>
    </xf>
    <xf numFmtId="3" fontId="60" fillId="0" borderId="101" xfId="58" applyNumberFormat="1" applyFont="1" applyBorder="1" applyAlignment="1">
      <alignment horizontal="right" vertical="center"/>
      <protection/>
    </xf>
    <xf numFmtId="3" fontId="60" fillId="0" borderId="102" xfId="58" applyNumberFormat="1" applyFont="1" applyBorder="1" applyAlignment="1">
      <alignment horizontal="right" vertical="center"/>
      <protection/>
    </xf>
    <xf numFmtId="0" fontId="60" fillId="0" borderId="0" xfId="58" applyFont="1" applyAlignment="1">
      <alignment vertical="center"/>
      <protection/>
    </xf>
    <xf numFmtId="0" fontId="14" fillId="0" borderId="103" xfId="58" applyFill="1" applyBorder="1" applyAlignment="1">
      <alignment vertical="center"/>
      <protection/>
    </xf>
    <xf numFmtId="0" fontId="14" fillId="0" borderId="32" xfId="58" applyBorder="1" applyAlignment="1">
      <alignment vertical="center"/>
      <protection/>
    </xf>
    <xf numFmtId="3" fontId="14" fillId="0" borderId="103" xfId="58" applyNumberFormat="1" applyBorder="1" applyAlignment="1">
      <alignment horizontal="right" vertical="center"/>
      <protection/>
    </xf>
    <xf numFmtId="3" fontId="14" fillId="0" borderId="32" xfId="58" applyNumberFormat="1" applyBorder="1" applyAlignment="1">
      <alignment horizontal="right" vertical="center"/>
      <protection/>
    </xf>
    <xf numFmtId="3" fontId="14" fillId="0" borderId="104" xfId="58" applyNumberFormat="1" applyBorder="1" applyAlignment="1">
      <alignment horizontal="right" vertical="center"/>
      <protection/>
    </xf>
    <xf numFmtId="0" fontId="14" fillId="0" borderId="0" xfId="58" applyAlignment="1">
      <alignment vertical="center"/>
      <protection/>
    </xf>
    <xf numFmtId="3" fontId="14" fillId="0" borderId="0" xfId="58" applyNumberFormat="1">
      <alignment/>
      <protection/>
    </xf>
    <xf numFmtId="3" fontId="14" fillId="0" borderId="10" xfId="60" applyNumberFormat="1" applyBorder="1" applyAlignment="1">
      <alignment horizontal="center"/>
      <protection/>
    </xf>
    <xf numFmtId="3" fontId="60" fillId="0" borderId="10" xfId="60" applyNumberFormat="1" applyFont="1" applyBorder="1" applyAlignment="1">
      <alignment horizontal="center"/>
      <protection/>
    </xf>
    <xf numFmtId="3" fontId="60" fillId="0" borderId="0" xfId="60" applyNumberFormat="1" applyFont="1" applyBorder="1" applyAlignment="1">
      <alignment horizontal="center"/>
      <protection/>
    </xf>
    <xf numFmtId="3" fontId="14" fillId="0" borderId="0" xfId="60" applyNumberFormat="1" applyAlignment="1">
      <alignment horizontal="center"/>
      <protection/>
    </xf>
    <xf numFmtId="3" fontId="14" fillId="0" borderId="10" xfId="60" applyNumberFormat="1" applyFont="1" applyBorder="1" applyAlignment="1">
      <alignment horizontal="center"/>
      <protection/>
    </xf>
    <xf numFmtId="3" fontId="14" fillId="0" borderId="15" xfId="60" applyNumberFormat="1" applyFont="1" applyBorder="1" applyAlignment="1">
      <alignment horizontal="center"/>
      <protection/>
    </xf>
    <xf numFmtId="3" fontId="61" fillId="0" borderId="105" xfId="60" applyNumberFormat="1" applyFont="1" applyBorder="1" applyAlignment="1">
      <alignment horizontal="center"/>
      <protection/>
    </xf>
    <xf numFmtId="3" fontId="61" fillId="0" borderId="106" xfId="60" applyNumberFormat="1" applyFont="1" applyBorder="1" applyAlignment="1">
      <alignment horizontal="center"/>
      <protection/>
    </xf>
    <xf numFmtId="3" fontId="62" fillId="0" borderId="106" xfId="60" applyNumberFormat="1" applyFont="1" applyBorder="1" applyAlignment="1">
      <alignment horizontal="center"/>
      <protection/>
    </xf>
    <xf numFmtId="3" fontId="14" fillId="0" borderId="35" xfId="60" applyNumberFormat="1" applyBorder="1" applyAlignment="1">
      <alignment horizontal="center"/>
      <protection/>
    </xf>
    <xf numFmtId="3" fontId="63" fillId="0" borderId="0" xfId="60" applyNumberFormat="1" applyFont="1" applyAlignment="1">
      <alignment horizontal="center"/>
      <protection/>
    </xf>
    <xf numFmtId="3" fontId="14" fillId="0" borderId="10" xfId="60" applyNumberFormat="1" applyBorder="1">
      <alignment/>
      <protection/>
    </xf>
    <xf numFmtId="3" fontId="60" fillId="0" borderId="24" xfId="60" applyNumberFormat="1" applyFont="1" applyBorder="1" applyAlignment="1">
      <alignment horizontal="right"/>
      <protection/>
    </xf>
    <xf numFmtId="3" fontId="14" fillId="0" borderId="0" xfId="60" applyNumberFormat="1">
      <alignment/>
      <protection/>
    </xf>
    <xf numFmtId="3" fontId="60" fillId="0" borderId="0" xfId="60" applyNumberFormat="1" applyFont="1" applyBorder="1" applyAlignment="1">
      <alignment horizontal="right"/>
      <protection/>
    </xf>
    <xf numFmtId="3" fontId="61" fillId="0" borderId="107" xfId="60" applyNumberFormat="1" applyFont="1" applyBorder="1">
      <alignment/>
      <protection/>
    </xf>
    <xf numFmtId="3" fontId="61" fillId="0" borderId="0" xfId="60" applyNumberFormat="1" applyFont="1" applyBorder="1">
      <alignment/>
      <protection/>
    </xf>
    <xf numFmtId="3" fontId="62" fillId="0" borderId="0" xfId="60" applyNumberFormat="1" applyFont="1" applyBorder="1">
      <alignment/>
      <protection/>
    </xf>
    <xf numFmtId="3" fontId="14" fillId="0" borderId="82" xfId="60" applyNumberFormat="1" applyBorder="1">
      <alignment/>
      <protection/>
    </xf>
    <xf numFmtId="3" fontId="63" fillId="0" borderId="0" xfId="60" applyNumberFormat="1" applyFont="1">
      <alignment/>
      <protection/>
    </xf>
    <xf numFmtId="3" fontId="60" fillId="0" borderId="108" xfId="60" applyNumberFormat="1" applyFont="1" applyBorder="1" applyAlignment="1">
      <alignment horizontal="right"/>
      <protection/>
    </xf>
    <xf numFmtId="3" fontId="60" fillId="0" borderId="10" xfId="60" applyNumberFormat="1" applyFont="1" applyBorder="1">
      <alignment/>
      <protection/>
    </xf>
    <xf numFmtId="3" fontId="60" fillId="0" borderId="109" xfId="60" applyNumberFormat="1" applyFont="1" applyBorder="1" applyAlignment="1">
      <alignment horizontal="right"/>
      <protection/>
    </xf>
    <xf numFmtId="3" fontId="60" fillId="0" borderId="0" xfId="60" applyNumberFormat="1" applyFont="1" applyBorder="1">
      <alignment/>
      <protection/>
    </xf>
    <xf numFmtId="3" fontId="60" fillId="0" borderId="0" xfId="60" applyNumberFormat="1" applyFont="1">
      <alignment/>
      <protection/>
    </xf>
    <xf numFmtId="3" fontId="64" fillId="22" borderId="107" xfId="60" applyNumberFormat="1" applyFont="1" applyFill="1" applyBorder="1">
      <alignment/>
      <protection/>
    </xf>
    <xf numFmtId="3" fontId="64" fillId="22" borderId="0" xfId="60" applyNumberFormat="1" applyFont="1" applyFill="1" applyBorder="1">
      <alignment/>
      <protection/>
    </xf>
    <xf numFmtId="3" fontId="65" fillId="22" borderId="0" xfId="60" applyNumberFormat="1" applyFont="1" applyFill="1" applyBorder="1">
      <alignment/>
      <protection/>
    </xf>
    <xf numFmtId="3" fontId="60" fillId="22" borderId="82" xfId="60" applyNumberFormat="1" applyFont="1" applyFill="1" applyBorder="1">
      <alignment/>
      <protection/>
    </xf>
    <xf numFmtId="3" fontId="66" fillId="0" borderId="0" xfId="60" applyNumberFormat="1" applyFont="1">
      <alignment/>
      <protection/>
    </xf>
    <xf numFmtId="3" fontId="61" fillId="22" borderId="107" xfId="60" applyNumberFormat="1" applyFont="1" applyFill="1" applyBorder="1">
      <alignment/>
      <protection/>
    </xf>
    <xf numFmtId="3" fontId="61" fillId="22" borderId="0" xfId="60" applyNumberFormat="1" applyFont="1" applyFill="1" applyBorder="1">
      <alignment/>
      <protection/>
    </xf>
    <xf numFmtId="3" fontId="62" fillId="22" borderId="0" xfId="60" applyNumberFormat="1" applyFont="1" applyFill="1" applyBorder="1">
      <alignment/>
      <protection/>
    </xf>
    <xf numFmtId="3" fontId="67" fillId="0" borderId="0" xfId="60" applyNumberFormat="1" applyFont="1">
      <alignment/>
      <protection/>
    </xf>
    <xf numFmtId="3" fontId="64" fillId="0" borderId="0" xfId="60" applyNumberFormat="1" applyFont="1" applyFill="1">
      <alignment/>
      <protection/>
    </xf>
    <xf numFmtId="3" fontId="64" fillId="0" borderId="0" xfId="60" applyNumberFormat="1" applyFont="1">
      <alignment/>
      <protection/>
    </xf>
    <xf numFmtId="3" fontId="68" fillId="25" borderId="0" xfId="60" applyNumberFormat="1" applyFont="1" applyFill="1">
      <alignment/>
      <protection/>
    </xf>
    <xf numFmtId="3" fontId="68" fillId="25" borderId="0" xfId="60" applyNumberFormat="1" applyFont="1" applyFill="1" applyAlignment="1">
      <alignment horizontal="right"/>
      <protection/>
    </xf>
    <xf numFmtId="3" fontId="68" fillId="0" borderId="0" xfId="60" applyNumberFormat="1" applyFont="1">
      <alignment/>
      <protection/>
    </xf>
    <xf numFmtId="3" fontId="60" fillId="0" borderId="0" xfId="60" applyNumberFormat="1" applyFont="1">
      <alignment/>
      <protection/>
    </xf>
    <xf numFmtId="3" fontId="60" fillId="8" borderId="109" xfId="60" applyNumberFormat="1" applyFont="1" applyFill="1" applyBorder="1" applyAlignment="1">
      <alignment horizontal="right"/>
      <protection/>
    </xf>
    <xf numFmtId="3" fontId="60" fillId="0" borderId="0" xfId="60" applyNumberFormat="1" applyFont="1" quotePrefix="1">
      <alignment/>
      <protection/>
    </xf>
    <xf numFmtId="3" fontId="60" fillId="0" borderId="10" xfId="60" applyNumberFormat="1" applyFont="1" applyFill="1" applyBorder="1" applyAlignment="1">
      <alignment horizontal="right"/>
      <protection/>
    </xf>
    <xf numFmtId="3" fontId="60" fillId="0" borderId="10" xfId="60" applyNumberFormat="1" applyFont="1" applyBorder="1">
      <alignment/>
      <protection/>
    </xf>
    <xf numFmtId="3" fontId="60" fillId="0" borderId="15" xfId="60" applyNumberFormat="1" applyFont="1" applyBorder="1">
      <alignment/>
      <protection/>
    </xf>
    <xf numFmtId="3" fontId="64" fillId="22" borderId="110" xfId="60" applyNumberFormat="1" applyFont="1" applyFill="1" applyBorder="1">
      <alignment/>
      <protection/>
    </xf>
    <xf numFmtId="3" fontId="64" fillId="22" borderId="10" xfId="60" applyNumberFormat="1" applyFont="1" applyFill="1" applyBorder="1">
      <alignment/>
      <protection/>
    </xf>
    <xf numFmtId="3" fontId="65" fillId="22" borderId="10" xfId="60" applyNumberFormat="1" applyFont="1" applyFill="1" applyBorder="1">
      <alignment/>
      <protection/>
    </xf>
    <xf numFmtId="3" fontId="60" fillId="22" borderId="111" xfId="60" applyNumberFormat="1" applyFont="1" applyFill="1" applyBorder="1">
      <alignment/>
      <protection/>
    </xf>
    <xf numFmtId="3" fontId="14" fillId="0" borderId="10" xfId="60" applyNumberFormat="1" applyFill="1" applyBorder="1" applyAlignment="1">
      <alignment vertical="center"/>
      <protection/>
    </xf>
    <xf numFmtId="3" fontId="60" fillId="0" borderId="10" xfId="60" applyNumberFormat="1" applyFont="1" applyFill="1" applyBorder="1" applyAlignment="1">
      <alignment vertical="center"/>
      <protection/>
    </xf>
    <xf numFmtId="3" fontId="60" fillId="0" borderId="12" xfId="60" applyNumberFormat="1" applyFont="1" applyBorder="1" applyAlignment="1">
      <alignment horizontal="right"/>
      <protection/>
    </xf>
    <xf numFmtId="3" fontId="14" fillId="0" borderId="0" xfId="60" applyNumberFormat="1" applyBorder="1">
      <alignment/>
      <protection/>
    </xf>
    <xf numFmtId="3" fontId="60" fillId="0" borderId="0" xfId="60" applyNumberFormat="1" applyFont="1" applyAlignment="1">
      <alignment horizontal="right"/>
      <protection/>
    </xf>
    <xf numFmtId="3" fontId="69" fillId="22" borderId="0" xfId="60" applyNumberFormat="1" applyFont="1" applyFill="1" applyBorder="1">
      <alignment/>
      <protection/>
    </xf>
    <xf numFmtId="3" fontId="70" fillId="22" borderId="0" xfId="60" applyNumberFormat="1" applyFont="1" applyFill="1" applyBorder="1">
      <alignment/>
      <protection/>
    </xf>
    <xf numFmtId="3" fontId="14" fillId="22" borderId="82" xfId="60" applyNumberFormat="1" applyFill="1" applyBorder="1">
      <alignment/>
      <protection/>
    </xf>
    <xf numFmtId="3" fontId="61" fillId="22" borderId="103" xfId="60" applyNumberFormat="1" applyFont="1" applyFill="1" applyBorder="1">
      <alignment/>
      <protection/>
    </xf>
    <xf numFmtId="3" fontId="69" fillId="22" borderId="32" xfId="60" applyNumberFormat="1" applyFont="1" applyFill="1" applyBorder="1">
      <alignment/>
      <protection/>
    </xf>
    <xf numFmtId="3" fontId="70" fillId="22" borderId="32" xfId="60" applyNumberFormat="1" applyFont="1" applyFill="1" applyBorder="1">
      <alignment/>
      <protection/>
    </xf>
    <xf numFmtId="3" fontId="14" fillId="22" borderId="104" xfId="60" applyNumberFormat="1" applyFill="1" applyBorder="1">
      <alignment/>
      <protection/>
    </xf>
    <xf numFmtId="3" fontId="60" fillId="0" borderId="84" xfId="60" applyNumberFormat="1" applyFont="1" applyBorder="1" applyAlignment="1">
      <alignment horizontal="right"/>
      <protection/>
    </xf>
    <xf numFmtId="3" fontId="60" fillId="0" borderId="0" xfId="60" applyNumberFormat="1" applyFont="1" applyFill="1">
      <alignment/>
      <protection/>
    </xf>
    <xf numFmtId="3" fontId="61" fillId="0" borderId="0" xfId="60" applyNumberFormat="1" applyFont="1">
      <alignment/>
      <protection/>
    </xf>
    <xf numFmtId="3" fontId="62" fillId="0" borderId="0" xfId="60" applyNumberFormat="1" applyFont="1">
      <alignment/>
      <protection/>
    </xf>
    <xf numFmtId="3" fontId="14" fillId="0" borderId="0" xfId="60" applyNumberFormat="1" applyFont="1">
      <alignment/>
      <protection/>
    </xf>
    <xf numFmtId="3" fontId="60" fillId="10" borderId="109" xfId="60" applyNumberFormat="1" applyFont="1" applyFill="1" applyBorder="1" applyAlignment="1">
      <alignment horizontal="right"/>
      <protection/>
    </xf>
    <xf numFmtId="3" fontId="60" fillId="0" borderId="0" xfId="60" applyNumberFormat="1" applyFont="1" applyFill="1" applyBorder="1">
      <alignment/>
      <protection/>
    </xf>
    <xf numFmtId="3" fontId="64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3" fontId="14" fillId="0" borderId="10" xfId="60" applyNumberFormat="1" applyFont="1" applyBorder="1">
      <alignment/>
      <protection/>
    </xf>
    <xf numFmtId="3" fontId="14" fillId="0" borderId="12" xfId="60" applyNumberFormat="1" applyFont="1" applyBorder="1" applyAlignment="1">
      <alignment horizontal="right"/>
      <protection/>
    </xf>
    <xf numFmtId="3" fontId="60" fillId="0" borderId="0" xfId="60" applyNumberFormat="1" applyFont="1" applyFill="1" applyBorder="1" applyAlignment="1">
      <alignment vertical="center"/>
      <protection/>
    </xf>
    <xf numFmtId="3" fontId="71" fillId="0" borderId="0" xfId="60" applyNumberFormat="1" applyFont="1">
      <alignment/>
      <protection/>
    </xf>
    <xf numFmtId="3" fontId="72" fillId="0" borderId="0" xfId="60" applyNumberFormat="1" applyFont="1">
      <alignment/>
      <protection/>
    </xf>
    <xf numFmtId="49" fontId="72" fillId="0" borderId="0" xfId="60" applyNumberFormat="1" applyFont="1" applyAlignment="1">
      <alignment horizontal="center"/>
      <protection/>
    </xf>
    <xf numFmtId="3" fontId="73" fillId="0" borderId="0" xfId="60" applyNumberFormat="1" applyFont="1" applyAlignment="1">
      <alignment horizontal="right"/>
      <protection/>
    </xf>
    <xf numFmtId="3" fontId="74" fillId="0" borderId="0" xfId="60" applyNumberFormat="1" applyFont="1">
      <alignment/>
      <protection/>
    </xf>
    <xf numFmtId="3" fontId="75" fillId="0" borderId="0" xfId="60" applyNumberFormat="1" applyFont="1">
      <alignment/>
      <protection/>
    </xf>
    <xf numFmtId="3" fontId="14" fillId="0" borderId="0" xfId="60" applyNumberFormat="1" applyAlignment="1">
      <alignment horizontal="right"/>
      <protection/>
    </xf>
    <xf numFmtId="3" fontId="75" fillId="0" borderId="112" xfId="60" applyNumberFormat="1" applyFont="1" applyBorder="1">
      <alignment/>
      <protection/>
    </xf>
    <xf numFmtId="3" fontId="75" fillId="0" borderId="113" xfId="60" applyNumberFormat="1" applyFont="1" applyBorder="1">
      <alignment/>
      <protection/>
    </xf>
    <xf numFmtId="3" fontId="75" fillId="0" borderId="114" xfId="60" applyNumberFormat="1" applyFont="1" applyBorder="1">
      <alignment/>
      <protection/>
    </xf>
    <xf numFmtId="3" fontId="76" fillId="0" borderId="0" xfId="60" applyNumberFormat="1" applyFont="1">
      <alignment/>
      <protection/>
    </xf>
    <xf numFmtId="3" fontId="77" fillId="0" borderId="0" xfId="60" applyNumberFormat="1" applyFont="1">
      <alignment/>
      <protection/>
    </xf>
    <xf numFmtId="3" fontId="78" fillId="0" borderId="0" xfId="60" applyNumberFormat="1" applyFont="1">
      <alignment/>
      <protection/>
    </xf>
    <xf numFmtId="3" fontId="73" fillId="0" borderId="0" xfId="60" applyNumberFormat="1" applyFont="1">
      <alignment/>
      <protection/>
    </xf>
    <xf numFmtId="171" fontId="14" fillId="0" borderId="0" xfId="60" applyNumberFormat="1">
      <alignment/>
      <protection/>
    </xf>
    <xf numFmtId="171" fontId="60" fillId="0" borderId="0" xfId="60" applyNumberFormat="1" applyFont="1">
      <alignment/>
      <protection/>
    </xf>
    <xf numFmtId="3" fontId="20" fillId="0" borderId="0" xfId="57" applyNumberFormat="1" applyFont="1" applyFill="1" applyAlignment="1">
      <alignment vertical="center"/>
      <protection/>
    </xf>
    <xf numFmtId="0" fontId="20" fillId="0" borderId="0" xfId="57" applyFont="1" applyFill="1" applyAlignment="1">
      <alignment vertical="center"/>
      <protection/>
    </xf>
    <xf numFmtId="0" fontId="20" fillId="26" borderId="10" xfId="57" applyFont="1" applyFill="1" applyBorder="1" applyAlignment="1">
      <alignment horizontal="left" vertical="center"/>
      <protection/>
    </xf>
    <xf numFmtId="0" fontId="20" fillId="26" borderId="10" xfId="57" applyFont="1" applyFill="1" applyBorder="1" applyAlignment="1">
      <alignment horizontal="center" vertical="center"/>
      <protection/>
    </xf>
    <xf numFmtId="3" fontId="20" fillId="26" borderId="15" xfId="57" applyNumberFormat="1" applyFont="1" applyFill="1" applyBorder="1" applyAlignment="1">
      <alignment vertical="center"/>
      <protection/>
    </xf>
    <xf numFmtId="3" fontId="20" fillId="26" borderId="10" xfId="57" applyNumberFormat="1" applyFont="1" applyFill="1" applyBorder="1" applyAlignment="1">
      <alignment vertical="center"/>
      <protection/>
    </xf>
    <xf numFmtId="3" fontId="22" fillId="0" borderId="24" xfId="61" applyNumberFormat="1" applyFont="1" applyBorder="1" applyAlignment="1">
      <alignment horizontal="center" vertical="center" wrapText="1"/>
      <protection/>
    </xf>
    <xf numFmtId="3" fontId="22" fillId="0" borderId="108" xfId="61" applyNumberFormat="1" applyFont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3" fontId="22" fillId="0" borderId="20" xfId="61" applyNumberFormat="1" applyFont="1" applyBorder="1" applyAlignment="1">
      <alignment horizontal="center" vertical="center" wrapText="1"/>
      <protection/>
    </xf>
    <xf numFmtId="3" fontId="21" fillId="0" borderId="24" xfId="61" applyNumberFormat="1" applyFont="1" applyBorder="1" applyAlignment="1">
      <alignment horizontal="center" vertical="center" wrapText="1"/>
      <protection/>
    </xf>
    <xf numFmtId="3" fontId="21" fillId="0" borderId="12" xfId="61" applyNumberFormat="1" applyFont="1" applyBorder="1" applyAlignment="1">
      <alignment horizontal="center" vertical="center" wrapText="1"/>
      <protection/>
    </xf>
    <xf numFmtId="3" fontId="28" fillId="0" borderId="15" xfId="61" applyNumberFormat="1" applyFont="1" applyFill="1" applyBorder="1" applyAlignment="1">
      <alignment horizontal="right" vertical="center"/>
      <protection/>
    </xf>
    <xf numFmtId="3" fontId="28" fillId="0" borderId="17" xfId="61" applyNumberFormat="1" applyFont="1" applyFill="1" applyBorder="1" applyAlignment="1">
      <alignment horizontal="right" vertical="center"/>
      <protection/>
    </xf>
    <xf numFmtId="3" fontId="28" fillId="0" borderId="23" xfId="61" applyNumberFormat="1" applyFont="1" applyFill="1" applyBorder="1" applyAlignment="1">
      <alignment horizontal="right" vertical="center"/>
      <protection/>
    </xf>
    <xf numFmtId="3" fontId="23" fillId="0" borderId="24" xfId="61" applyNumberFormat="1" applyFont="1" applyBorder="1" applyAlignment="1">
      <alignment horizontal="center" vertical="center" wrapText="1"/>
      <protection/>
    </xf>
    <xf numFmtId="3" fontId="23" fillId="0" borderId="108" xfId="61" applyNumberFormat="1" applyFont="1" applyBorder="1" applyAlignment="1">
      <alignment horizontal="center" vertical="center" wrapText="1"/>
      <protection/>
    </xf>
    <xf numFmtId="3" fontId="26" fillId="3" borderId="15" xfId="61" applyNumberFormat="1" applyFont="1" applyFill="1" applyBorder="1" applyAlignment="1">
      <alignment horizontal="right"/>
      <protection/>
    </xf>
    <xf numFmtId="3" fontId="26" fillId="3" borderId="17" xfId="61" applyNumberFormat="1" applyFont="1" applyFill="1" applyBorder="1" applyAlignment="1">
      <alignment horizontal="right"/>
      <protection/>
    </xf>
    <xf numFmtId="3" fontId="26" fillId="3" borderId="23" xfId="61" applyNumberFormat="1" applyFont="1" applyFill="1" applyBorder="1" applyAlignment="1">
      <alignment horizontal="right"/>
      <protection/>
    </xf>
    <xf numFmtId="3" fontId="26" fillId="0" borderId="15" xfId="61" applyNumberFormat="1" applyFont="1" applyFill="1" applyBorder="1" applyAlignment="1">
      <alignment horizontal="right"/>
      <protection/>
    </xf>
    <xf numFmtId="3" fontId="26" fillId="0" borderId="17" xfId="61" applyNumberFormat="1" applyFont="1" applyFill="1" applyBorder="1" applyAlignment="1">
      <alignment horizontal="right"/>
      <protection/>
    </xf>
    <xf numFmtId="3" fontId="26" fillId="0" borderId="23" xfId="61" applyNumberFormat="1" applyFont="1" applyFill="1" applyBorder="1" applyAlignment="1">
      <alignment horizontal="right"/>
      <protection/>
    </xf>
    <xf numFmtId="3" fontId="28" fillId="0" borderId="15" xfId="61" applyNumberFormat="1" applyFont="1" applyFill="1" applyBorder="1" applyAlignment="1">
      <alignment horizontal="right"/>
      <protection/>
    </xf>
    <xf numFmtId="3" fontId="28" fillId="0" borderId="17" xfId="61" applyNumberFormat="1" applyFont="1" applyFill="1" applyBorder="1" applyAlignment="1">
      <alignment horizontal="right"/>
      <protection/>
    </xf>
    <xf numFmtId="3" fontId="28" fillId="0" borderId="23" xfId="61" applyNumberFormat="1" applyFont="1" applyFill="1" applyBorder="1" applyAlignment="1">
      <alignment horizontal="right"/>
      <protection/>
    </xf>
    <xf numFmtId="3" fontId="25" fillId="0" borderId="24" xfId="61" applyNumberFormat="1" applyFont="1" applyBorder="1" applyAlignment="1">
      <alignment horizontal="center" vertical="center" wrapText="1"/>
      <protection/>
    </xf>
    <xf numFmtId="3" fontId="25" fillId="0" borderId="12" xfId="61" applyNumberFormat="1" applyFont="1" applyBorder="1" applyAlignment="1">
      <alignment horizontal="center" vertical="center" wrapText="1"/>
      <protection/>
    </xf>
    <xf numFmtId="3" fontId="26" fillId="0" borderId="24" xfId="61" applyNumberFormat="1" applyFont="1" applyBorder="1" applyAlignment="1">
      <alignment horizontal="center" vertical="center" wrapText="1"/>
      <protection/>
    </xf>
    <xf numFmtId="3" fontId="26" fillId="0" borderId="108" xfId="61" applyNumberFormat="1" applyFont="1" applyBorder="1" applyAlignment="1">
      <alignment horizontal="center" vertical="center" wrapText="1"/>
      <protection/>
    </xf>
    <xf numFmtId="3" fontId="25" fillId="0" borderId="24" xfId="61" applyNumberFormat="1" applyFont="1" applyFill="1" applyBorder="1" applyAlignment="1">
      <alignment vertical="center"/>
      <protection/>
    </xf>
    <xf numFmtId="3" fontId="25" fillId="0" borderId="84" xfId="61" applyNumberFormat="1" applyFont="1" applyFill="1" applyBorder="1" applyAlignment="1">
      <alignment vertical="center"/>
      <protection/>
    </xf>
    <xf numFmtId="3" fontId="25" fillId="0" borderId="12" xfId="61" applyNumberFormat="1" applyFont="1" applyFill="1" applyBorder="1" applyAlignment="1">
      <alignment vertical="center"/>
      <protection/>
    </xf>
    <xf numFmtId="3" fontId="25" fillId="0" borderId="24" xfId="61" applyNumberFormat="1" applyFont="1" applyBorder="1" applyAlignment="1">
      <alignment vertical="center" wrapText="1"/>
      <protection/>
    </xf>
    <xf numFmtId="3" fontId="25" fillId="0" borderId="84" xfId="61" applyNumberFormat="1" applyFont="1" applyBorder="1" applyAlignment="1">
      <alignment vertical="center" wrapText="1"/>
      <protection/>
    </xf>
    <xf numFmtId="3" fontId="25" fillId="0" borderId="12" xfId="61" applyNumberFormat="1" applyFont="1" applyBorder="1" applyAlignment="1">
      <alignment vertical="center" wrapText="1"/>
      <protection/>
    </xf>
    <xf numFmtId="49" fontId="25" fillId="0" borderId="24" xfId="61" applyNumberFormat="1" applyFont="1" applyBorder="1" applyAlignment="1">
      <alignment horizontal="center" vertical="center"/>
      <protection/>
    </xf>
    <xf numFmtId="49" fontId="25" fillId="0" borderId="84" xfId="61" applyNumberFormat="1" applyFont="1" applyBorder="1" applyAlignment="1">
      <alignment horizontal="center" vertical="center"/>
      <protection/>
    </xf>
    <xf numFmtId="49" fontId="25" fillId="0" borderId="12" xfId="61" applyNumberFormat="1" applyFont="1" applyBorder="1" applyAlignment="1">
      <alignment horizontal="center" vertical="center"/>
      <protection/>
    </xf>
    <xf numFmtId="3" fontId="26" fillId="0" borderId="10" xfId="61" applyNumberFormat="1" applyFont="1" applyBorder="1" applyAlignment="1">
      <alignment horizontal="center" vertical="center" wrapText="1"/>
      <protection/>
    </xf>
    <xf numFmtId="3" fontId="26" fillId="0" borderId="20" xfId="61" applyNumberFormat="1" applyFont="1" applyBorder="1" applyAlignment="1">
      <alignment horizontal="center" vertical="center" wrapText="1"/>
      <protection/>
    </xf>
    <xf numFmtId="3" fontId="25" fillId="0" borderId="24" xfId="61" applyNumberFormat="1" applyFont="1" applyFill="1" applyBorder="1" applyAlignment="1">
      <alignment vertical="center" wrapText="1"/>
      <protection/>
    </xf>
    <xf numFmtId="3" fontId="25" fillId="0" borderId="84" xfId="61" applyNumberFormat="1" applyFont="1" applyFill="1" applyBorder="1" applyAlignment="1">
      <alignment vertical="center" wrapText="1"/>
      <protection/>
    </xf>
    <xf numFmtId="3" fontId="25" fillId="0" borderId="12" xfId="61" applyNumberFormat="1" applyFont="1" applyFill="1" applyBorder="1" applyAlignment="1">
      <alignment vertical="center" wrapText="1"/>
      <protection/>
    </xf>
    <xf numFmtId="3" fontId="26" fillId="0" borderId="12" xfId="61" applyNumberFormat="1" applyFont="1" applyBorder="1" applyAlignment="1">
      <alignment horizontal="center" vertical="center" wrapText="1"/>
      <protection/>
    </xf>
    <xf numFmtId="3" fontId="25" fillId="0" borderId="27" xfId="61" applyNumberFormat="1" applyFont="1" applyBorder="1" applyAlignment="1">
      <alignment vertical="center"/>
      <protection/>
    </xf>
    <xf numFmtId="3" fontId="25" fillId="0" borderId="84" xfId="61" applyNumberFormat="1" applyFont="1" applyBorder="1" applyAlignment="1">
      <alignment vertical="center"/>
      <protection/>
    </xf>
    <xf numFmtId="3" fontId="25" fillId="0" borderId="12" xfId="61" applyNumberFormat="1" applyFont="1" applyBorder="1" applyAlignment="1">
      <alignment vertical="center"/>
      <protection/>
    </xf>
    <xf numFmtId="49" fontId="25" fillId="0" borderId="27" xfId="61" applyNumberFormat="1" applyFont="1" applyBorder="1" applyAlignment="1">
      <alignment horizontal="center" vertical="center"/>
      <protection/>
    </xf>
    <xf numFmtId="3" fontId="25" fillId="0" borderId="27" xfId="61" applyNumberFormat="1" applyFont="1" applyBorder="1" applyAlignment="1">
      <alignment vertical="center" wrapText="1"/>
      <protection/>
    </xf>
    <xf numFmtId="3" fontId="25" fillId="0" borderId="24" xfId="61" applyNumberFormat="1" applyFont="1" applyBorder="1" applyAlignment="1">
      <alignment horizontal="left" vertical="center" wrapText="1"/>
      <protection/>
    </xf>
    <xf numFmtId="3" fontId="25" fillId="0" borderId="84" xfId="61" applyNumberFormat="1" applyFont="1" applyBorder="1" applyAlignment="1">
      <alignment horizontal="left" vertical="center" wrapText="1"/>
      <protection/>
    </xf>
    <xf numFmtId="3" fontId="25" fillId="0" borderId="12" xfId="61" applyNumberFormat="1" applyFont="1" applyBorder="1" applyAlignment="1">
      <alignment horizontal="left" vertical="center" wrapText="1"/>
      <protection/>
    </xf>
    <xf numFmtId="0" fontId="25" fillId="0" borderId="24" xfId="55" applyFont="1" applyBorder="1" applyAlignment="1">
      <alignment vertical="center" wrapText="1"/>
      <protection/>
    </xf>
    <xf numFmtId="0" fontId="25" fillId="0" borderId="84" xfId="55" applyFont="1" applyBorder="1" applyAlignment="1">
      <alignment vertical="center" wrapText="1"/>
      <protection/>
    </xf>
    <xf numFmtId="0" fontId="25" fillId="0" borderId="12" xfId="55" applyFont="1" applyBorder="1" applyAlignment="1">
      <alignment vertical="center" wrapText="1"/>
      <protection/>
    </xf>
    <xf numFmtId="49" fontId="25" fillId="24" borderId="24" xfId="42" applyNumberFormat="1" applyFont="1" applyFill="1" applyBorder="1" applyAlignment="1">
      <alignment horizontal="center" vertical="center" wrapText="1"/>
    </xf>
    <xf numFmtId="49" fontId="25" fillId="24" borderId="84" xfId="42" applyNumberFormat="1" applyFont="1" applyFill="1" applyBorder="1" applyAlignment="1">
      <alignment horizontal="center" vertical="center" wrapText="1"/>
    </xf>
    <xf numFmtId="49" fontId="25" fillId="24" borderId="12" xfId="42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5" xfId="0" applyFont="1" applyBorder="1" applyAlignment="1">
      <alignment wrapText="1"/>
    </xf>
    <xf numFmtId="49" fontId="25" fillId="0" borderId="24" xfId="42" applyNumberFormat="1" applyFont="1" applyFill="1" applyBorder="1" applyAlignment="1">
      <alignment horizontal="center" vertical="center" wrapText="1"/>
    </xf>
    <xf numFmtId="49" fontId="25" fillId="0" borderId="84" xfId="42" applyNumberFormat="1" applyFont="1" applyFill="1" applyBorder="1" applyAlignment="1">
      <alignment horizontal="center" vertical="center" wrapText="1"/>
    </xf>
    <xf numFmtId="49" fontId="25" fillId="0" borderId="12" xfId="42" applyNumberFormat="1" applyFont="1" applyFill="1" applyBorder="1" applyAlignment="1">
      <alignment horizontal="center" vertical="center" wrapText="1"/>
    </xf>
    <xf numFmtId="0" fontId="25" fillId="0" borderId="24" xfId="55" applyFont="1" applyFill="1" applyBorder="1" applyAlignment="1">
      <alignment vertical="center" wrapText="1"/>
      <protection/>
    </xf>
    <xf numFmtId="0" fontId="25" fillId="0" borderId="84" xfId="55" applyFont="1" applyFill="1" applyBorder="1" applyAlignment="1">
      <alignment vertical="center" wrapText="1"/>
      <protection/>
    </xf>
    <xf numFmtId="0" fontId="25" fillId="0" borderId="12" xfId="55" applyFont="1" applyFill="1" applyBorder="1" applyAlignment="1">
      <alignment vertical="center" wrapText="1"/>
      <protection/>
    </xf>
    <xf numFmtId="3" fontId="33" fillId="0" borderId="14" xfId="62" applyNumberFormat="1" applyFont="1" applyBorder="1" applyAlignment="1">
      <alignment horizontal="left" vertical="center" wrapText="1"/>
      <protection/>
    </xf>
    <xf numFmtId="3" fontId="33" fillId="0" borderId="116" xfId="62" applyNumberFormat="1" applyFont="1" applyBorder="1" applyAlignment="1">
      <alignment horizontal="left" vertical="center" wrapText="1"/>
      <protection/>
    </xf>
    <xf numFmtId="0" fontId="52" fillId="15" borderId="27" xfId="62" applyFont="1" applyFill="1" applyBorder="1" applyAlignment="1">
      <alignment horizontal="center" vertical="center" wrapText="1"/>
      <protection/>
    </xf>
    <xf numFmtId="0" fontId="52" fillId="15" borderId="108" xfId="62" applyFont="1" applyFill="1" applyBorder="1" applyAlignment="1">
      <alignment horizontal="center" vertical="center" wrapText="1"/>
      <protection/>
    </xf>
    <xf numFmtId="3" fontId="33" fillId="0" borderId="30" xfId="62" applyNumberFormat="1" applyFont="1" applyBorder="1" applyAlignment="1">
      <alignment horizontal="center" vertical="center"/>
      <protection/>
    </xf>
    <xf numFmtId="0" fontId="51" fillId="0" borderId="13" xfId="62" applyFont="1" applyBorder="1" applyAlignment="1">
      <alignment horizontal="center" vertical="center" wrapText="1"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2" fillId="15" borderId="13" xfId="62" applyFont="1" applyFill="1" applyBorder="1" applyAlignment="1">
      <alignment horizontal="center" vertical="center" wrapText="1"/>
      <protection/>
    </xf>
    <xf numFmtId="0" fontId="52" fillId="15" borderId="20" xfId="62" applyFont="1" applyFill="1" applyBorder="1" applyAlignment="1">
      <alignment horizontal="center" vertical="center" wrapText="1"/>
      <protection/>
    </xf>
    <xf numFmtId="3" fontId="49" fillId="0" borderId="112" xfId="62" applyNumberFormat="1" applyFont="1" applyBorder="1" applyAlignment="1">
      <alignment horizontal="left" vertical="center" wrapText="1"/>
      <protection/>
    </xf>
    <xf numFmtId="3" fontId="49" fillId="0" borderId="113" xfId="62" applyNumberFormat="1" applyFont="1" applyBorder="1" applyAlignment="1">
      <alignment horizontal="left" vertical="center" wrapText="1"/>
      <protection/>
    </xf>
    <xf numFmtId="3" fontId="49" fillId="0" borderId="117" xfId="62" applyNumberFormat="1" applyFont="1" applyBorder="1" applyAlignment="1">
      <alignment horizontal="left" vertical="center" wrapText="1"/>
      <protection/>
    </xf>
    <xf numFmtId="3" fontId="33" fillId="0" borderId="118" xfId="62" applyNumberFormat="1" applyFont="1" applyBorder="1" applyAlignment="1">
      <alignment horizontal="left" vertical="center" wrapText="1"/>
      <protection/>
    </xf>
    <xf numFmtId="164" fontId="52" fillId="15" borderId="119" xfId="62" applyNumberFormat="1" applyFont="1" applyFill="1" applyBorder="1" applyAlignment="1">
      <alignment horizontal="center" vertical="center" wrapText="1"/>
      <protection/>
    </xf>
    <xf numFmtId="164" fontId="52" fillId="15" borderId="120" xfId="62" applyNumberFormat="1" applyFont="1" applyFill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9" fillId="0" borderId="121" xfId="62" applyFont="1" applyBorder="1" applyAlignment="1">
      <alignment horizontal="center" vertical="center" wrapText="1"/>
      <protection/>
    </xf>
    <xf numFmtId="0" fontId="49" fillId="0" borderId="122" xfId="62" applyFont="1" applyBorder="1" applyAlignment="1">
      <alignment horizontal="center" vertical="center" wrapText="1"/>
      <protection/>
    </xf>
    <xf numFmtId="0" fontId="51" fillId="0" borderId="21" xfId="62" applyFont="1" applyBorder="1" applyAlignment="1">
      <alignment horizontal="center" vertical="center" wrapText="1"/>
      <protection/>
    </xf>
    <xf numFmtId="0" fontId="51" fillId="0" borderId="123" xfId="62" applyFont="1" applyBorder="1" applyAlignment="1">
      <alignment horizontal="center" vertical="center" wrapText="1"/>
      <protection/>
    </xf>
    <xf numFmtId="0" fontId="51" fillId="0" borderId="27" xfId="62" applyFont="1" applyBorder="1" applyAlignment="1">
      <alignment horizontal="center" vertical="center" wrapText="1"/>
      <protection/>
    </xf>
    <xf numFmtId="0" fontId="51" fillId="0" borderId="108" xfId="62" applyFont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left" vertical="center"/>
      <protection/>
    </xf>
    <xf numFmtId="0" fontId="33" fillId="0" borderId="10" xfId="62" applyFont="1" applyBorder="1" applyAlignment="1">
      <alignment horizontal="left" vertical="center" wrapText="1"/>
      <protection/>
    </xf>
    <xf numFmtId="0" fontId="49" fillId="0" borderId="0" xfId="62" applyFont="1" applyAlignment="1">
      <alignment horizontal="center" vertical="center" wrapText="1"/>
      <protection/>
    </xf>
    <xf numFmtId="0" fontId="49" fillId="0" borderId="15" xfId="62" applyFont="1" applyFill="1" applyBorder="1" applyAlignment="1">
      <alignment horizontal="center" vertical="center" wrapText="1"/>
      <protection/>
    </xf>
    <xf numFmtId="0" fontId="49" fillId="0" borderId="17" xfId="62" applyFont="1" applyFill="1" applyBorder="1" applyAlignment="1">
      <alignment horizontal="center" vertical="center" wrapText="1"/>
      <protection/>
    </xf>
    <xf numFmtId="0" fontId="49" fillId="0" borderId="23" xfId="62" applyFont="1" applyFill="1" applyBorder="1" applyAlignment="1">
      <alignment horizontal="center" vertical="center" wrapText="1"/>
      <protection/>
    </xf>
    <xf numFmtId="0" fontId="25" fillId="0" borderId="24" xfId="62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56" fillId="0" borderId="0" xfId="57" applyFont="1" applyAlignment="1">
      <alignment horizontal="center"/>
      <protection/>
    </xf>
    <xf numFmtId="0" fontId="58" fillId="0" borderId="0" xfId="57" applyFont="1" applyAlignment="1">
      <alignment horizontal="center"/>
      <protection/>
    </xf>
    <xf numFmtId="169" fontId="20" fillId="0" borderId="10" xfId="57" applyNumberFormat="1" applyFont="1" applyBorder="1" applyAlignment="1">
      <alignment horizontal="center" vertical="center"/>
      <protection/>
    </xf>
    <xf numFmtId="169" fontId="20" fillId="0" borderId="24" xfId="57" applyNumberFormat="1" applyFont="1" applyBorder="1" applyAlignment="1">
      <alignment horizontal="center" vertical="center"/>
      <protection/>
    </xf>
    <xf numFmtId="169" fontId="20" fillId="0" borderId="84" xfId="57" applyNumberFormat="1" applyFont="1" applyBorder="1" applyAlignment="1">
      <alignment horizontal="center" vertical="center"/>
      <protection/>
    </xf>
    <xf numFmtId="169" fontId="20" fillId="0" borderId="12" xfId="57" applyNumberFormat="1" applyFont="1" applyBorder="1" applyAlignment="1">
      <alignment horizontal="center" vertical="center"/>
      <protection/>
    </xf>
    <xf numFmtId="3" fontId="20" fillId="0" borderId="24" xfId="57" applyNumberFormat="1" applyFont="1" applyBorder="1" applyAlignment="1">
      <alignment horizontal="center" vertical="center" wrapText="1"/>
      <protection/>
    </xf>
    <xf numFmtId="3" fontId="20" fillId="0" borderId="84" xfId="57" applyNumberFormat="1" applyFont="1" applyBorder="1" applyAlignment="1">
      <alignment horizontal="center" vertical="center" wrapText="1"/>
      <protection/>
    </xf>
    <xf numFmtId="3" fontId="20" fillId="0" borderId="12" xfId="57" applyNumberFormat="1" applyFont="1" applyBorder="1" applyAlignment="1">
      <alignment horizontal="center" vertical="center"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0" fontId="60" fillId="0" borderId="124" xfId="58" applyFont="1" applyBorder="1" applyAlignment="1">
      <alignment horizontal="center" vertical="center"/>
      <protection/>
    </xf>
    <xf numFmtId="0" fontId="60" fillId="0" borderId="36" xfId="58" applyFont="1" applyBorder="1" applyAlignment="1">
      <alignment horizontal="center" vertical="center"/>
      <protection/>
    </xf>
    <xf numFmtId="0" fontId="60" fillId="0" borderId="77" xfId="58" applyFont="1" applyBorder="1" applyAlignment="1">
      <alignment horizontal="center" vertical="center"/>
      <protection/>
    </xf>
    <xf numFmtId="0" fontId="60" fillId="0" borderId="78" xfId="58" applyFont="1" applyBorder="1" applyAlignment="1">
      <alignment horizontal="center" vertical="center"/>
      <protection/>
    </xf>
    <xf numFmtId="0" fontId="60" fillId="0" borderId="125" xfId="58" applyFont="1" applyBorder="1" applyAlignment="1">
      <alignment horizontal="center" vertical="center"/>
      <protection/>
    </xf>
    <xf numFmtId="0" fontId="60" fillId="0" borderId="126" xfId="58" applyFont="1" applyBorder="1" applyAlignment="1">
      <alignment horizontal="center" vertical="center"/>
      <protection/>
    </xf>
    <xf numFmtId="0" fontId="14" fillId="0" borderId="90" xfId="58" applyBorder="1" applyAlignment="1">
      <alignment horizontal="center"/>
      <protection/>
    </xf>
    <xf numFmtId="0" fontId="14" fillId="0" borderId="89" xfId="58" applyBorder="1" applyAlignment="1">
      <alignment horizontal="center"/>
      <protection/>
    </xf>
    <xf numFmtId="3" fontId="14" fillId="0" borderId="90" xfId="58" applyNumberFormat="1" applyBorder="1" applyAlignment="1">
      <alignment horizontal="left"/>
      <protection/>
    </xf>
    <xf numFmtId="3" fontId="14" fillId="0" borderId="89" xfId="58" applyNumberFormat="1" applyBorder="1" applyAlignment="1">
      <alignment horizontal="left"/>
      <protection/>
    </xf>
    <xf numFmtId="3" fontId="14" fillId="0" borderId="91" xfId="58" applyNumberFormat="1" applyBorder="1" applyAlignment="1">
      <alignment horizontal="left"/>
      <protection/>
    </xf>
    <xf numFmtId="0" fontId="60" fillId="0" borderId="127" xfId="58" applyFont="1" applyBorder="1" applyAlignment="1">
      <alignment horizontal="center" vertical="center"/>
      <protection/>
    </xf>
    <xf numFmtId="0" fontId="60" fillId="0" borderId="80" xfId="58" applyFont="1" applyBorder="1" applyAlignment="1">
      <alignment horizontal="center" vertical="center"/>
      <protection/>
    </xf>
    <xf numFmtId="0" fontId="60" fillId="0" borderId="128" xfId="58" applyFont="1" applyBorder="1" applyAlignment="1">
      <alignment horizontal="center" vertical="center"/>
      <protection/>
    </xf>
    <xf numFmtId="0" fontId="60" fillId="0" borderId="71" xfId="58" applyFont="1" applyBorder="1" applyAlignment="1">
      <alignment horizontal="center" vertical="center"/>
      <protection/>
    </xf>
    <xf numFmtId="0" fontId="60" fillId="0" borderId="79" xfId="58" applyFont="1" applyBorder="1" applyAlignment="1">
      <alignment horizontal="center" vertical="center"/>
      <protection/>
    </xf>
    <xf numFmtId="0" fontId="60" fillId="0" borderId="90" xfId="58" applyFont="1" applyBorder="1" applyAlignment="1">
      <alignment horizontal="center" vertical="center"/>
      <protection/>
    </xf>
    <xf numFmtId="0" fontId="60" fillId="0" borderId="89" xfId="58" applyFont="1" applyBorder="1" applyAlignment="1">
      <alignment horizontal="center" vertical="center"/>
      <protection/>
    </xf>
    <xf numFmtId="0" fontId="60" fillId="0" borderId="129" xfId="58" applyFont="1" applyBorder="1" applyAlignment="1">
      <alignment horizontal="center" vertical="center"/>
      <protection/>
    </xf>
    <xf numFmtId="0" fontId="60" fillId="0" borderId="38" xfId="58" applyFont="1" applyBorder="1" applyAlignment="1">
      <alignment horizontal="center" vertical="center"/>
      <protection/>
    </xf>
    <xf numFmtId="3" fontId="20" fillId="15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15" borderId="10" xfId="0" applyNumberFormat="1" applyFont="1" applyFill="1" applyBorder="1" applyAlignment="1">
      <alignment horizontal="center" vertical="center" wrapText="1"/>
    </xf>
    <xf numFmtId="3" fontId="19" fillId="0" borderId="130" xfId="0" applyNumberFormat="1" applyFont="1" applyBorder="1" applyAlignment="1">
      <alignment horizontal="right"/>
    </xf>
    <xf numFmtId="3" fontId="36" fillId="0" borderId="0" xfId="59" applyNumberFormat="1" applyFont="1" applyAlignment="1">
      <alignment/>
      <protection/>
    </xf>
    <xf numFmtId="3" fontId="34" fillId="0" borderId="0" xfId="59" applyNumberFormat="1" applyAlignment="1">
      <alignment/>
      <protection/>
    </xf>
    <xf numFmtId="3" fontId="14" fillId="8" borderId="24" xfId="60" applyNumberFormat="1" applyFill="1" applyBorder="1" applyAlignment="1">
      <alignment horizontal="center" vertical="center"/>
      <protection/>
    </xf>
    <xf numFmtId="3" fontId="14" fillId="8" borderId="84" xfId="60" applyNumberFormat="1" applyFill="1" applyBorder="1" applyAlignment="1">
      <alignment horizontal="center" vertical="center"/>
      <protection/>
    </xf>
    <xf numFmtId="3" fontId="14" fillId="0" borderId="10" xfId="60" applyNumberFormat="1" applyBorder="1" applyAlignment="1">
      <alignment horizontal="center" vertical="center"/>
      <protection/>
    </xf>
    <xf numFmtId="3" fontId="60" fillId="0" borderId="24" xfId="60" applyNumberFormat="1" applyFont="1" applyBorder="1" applyAlignment="1">
      <alignment horizontal="center" vertical="center"/>
      <protection/>
    </xf>
    <xf numFmtId="3" fontId="60" fillId="0" borderId="84" xfId="60" applyNumberFormat="1" applyFont="1" applyBorder="1" applyAlignment="1">
      <alignment horizontal="center" vertical="center"/>
      <protection/>
    </xf>
    <xf numFmtId="3" fontId="14" fillId="0" borderId="0" xfId="60" applyNumberFormat="1" applyAlignment="1">
      <alignment wrapText="1"/>
      <protection/>
    </xf>
    <xf numFmtId="3" fontId="14" fillId="10" borderId="10" xfId="60" applyNumberFormat="1" applyFill="1" applyBorder="1" applyAlignment="1">
      <alignment horizontal="center" vertical="center"/>
      <protection/>
    </xf>
    <xf numFmtId="3" fontId="14" fillId="0" borderId="10" xfId="60" applyNumberFormat="1" applyBorder="1" applyAlignment="1">
      <alignment horizontal="center" vertical="center" wrapText="1"/>
      <protection/>
    </xf>
    <xf numFmtId="3" fontId="14" fillId="0" borderId="18" xfId="60" applyNumberFormat="1" applyFont="1" applyFill="1" applyBorder="1" applyAlignment="1">
      <alignment horizontal="center" vertical="center" wrapText="1"/>
      <protection/>
    </xf>
    <xf numFmtId="3" fontId="14" fillId="0" borderId="0" xfId="60" applyNumberFormat="1" applyFont="1" applyFill="1" applyBorder="1" applyAlignment="1">
      <alignment horizontal="center" vertical="center" wrapText="1"/>
      <protection/>
    </xf>
    <xf numFmtId="3" fontId="73" fillId="0" borderId="0" xfId="60" applyNumberFormat="1" applyFont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2_Szöv.besz.2008.mellékletek" xfId="57"/>
    <cellStyle name="Normál 3" xfId="58"/>
    <cellStyle name="Normál_2008. évi állatkárt. éves kimut" xfId="59"/>
    <cellStyle name="Normál_5-c külön - parlagfű" xfId="60"/>
    <cellStyle name="Normál_Előirányzat-MgSzH 2007." xfId="61"/>
    <cellStyle name="Normál_Szöv.besz.2008.mellék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9525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14382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1552575" y="4381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5250" cy="381000"/>
    <xdr:sp fLocksText="0">
      <xdr:nvSpPr>
        <xdr:cNvPr id="3" name="Text Box 5"/>
        <xdr:cNvSpPr txBox="1">
          <a:spLocks noChangeArrowheads="1"/>
        </xdr:cNvSpPr>
      </xdr:nvSpPr>
      <xdr:spPr>
        <a:xfrm>
          <a:off x="1552575" y="47339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5250" cy="381000"/>
    <xdr:sp fLocksText="0">
      <xdr:nvSpPr>
        <xdr:cNvPr id="4" name="Text Box 7"/>
        <xdr:cNvSpPr txBox="1">
          <a:spLocks noChangeArrowheads="1"/>
        </xdr:cNvSpPr>
      </xdr:nvSpPr>
      <xdr:spPr>
        <a:xfrm>
          <a:off x="1552575" y="47339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5250" cy="381000"/>
    <xdr:sp fLocksText="0">
      <xdr:nvSpPr>
        <xdr:cNvPr id="5" name="Text Box 9"/>
        <xdr:cNvSpPr txBox="1">
          <a:spLocks noChangeArrowheads="1"/>
        </xdr:cNvSpPr>
      </xdr:nvSpPr>
      <xdr:spPr>
        <a:xfrm>
          <a:off x="1552575" y="47339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5250" cy="381000"/>
    <xdr:sp fLocksText="0">
      <xdr:nvSpPr>
        <xdr:cNvPr id="6" name="Text Box 11"/>
        <xdr:cNvSpPr txBox="1">
          <a:spLocks noChangeArrowheads="1"/>
        </xdr:cNvSpPr>
      </xdr:nvSpPr>
      <xdr:spPr>
        <a:xfrm>
          <a:off x="1552575" y="47339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66675" cy="333375"/>
    <xdr:sp fLocksText="0">
      <xdr:nvSpPr>
        <xdr:cNvPr id="7" name="Text Box 1"/>
        <xdr:cNvSpPr txBox="1">
          <a:spLocks noChangeArrowheads="1"/>
        </xdr:cNvSpPr>
      </xdr:nvSpPr>
      <xdr:spPr>
        <a:xfrm>
          <a:off x="1552575" y="473392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95250" cy="381000"/>
    <xdr:sp fLocksText="0">
      <xdr:nvSpPr>
        <xdr:cNvPr id="8" name="Text Box 5"/>
        <xdr:cNvSpPr txBox="1">
          <a:spLocks noChangeArrowheads="1"/>
        </xdr:cNvSpPr>
      </xdr:nvSpPr>
      <xdr:spPr>
        <a:xfrm>
          <a:off x="1552575" y="47339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523875</xdr:colOff>
      <xdr:row>19</xdr:row>
      <xdr:rowOff>0</xdr:rowOff>
    </xdr:from>
    <xdr:ext cx="6667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2076450" y="5743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2" name="Text Box 5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7524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5" name="Text Box 9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6" name="Text Box 11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523875</xdr:colOff>
      <xdr:row>19</xdr:row>
      <xdr:rowOff>0</xdr:rowOff>
    </xdr:from>
    <xdr:ext cx="6667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2076450" y="5743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5250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1552575" y="574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view="pageBreakPreview" zoomScale="75" zoomScaleSheetLayoutView="75" zoomScalePageLayoutView="0" workbookViewId="0" topLeftCell="B1">
      <pane xSplit="4" ySplit="2" topLeftCell="F3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E191" sqref="E191"/>
    </sheetView>
  </sheetViews>
  <sheetFormatPr defaultColWidth="9.140625" defaultRowHeight="15"/>
  <cols>
    <col min="1" max="1" width="0.13671875" style="57" customWidth="1"/>
    <col min="2" max="2" width="19.57421875" style="57" customWidth="1"/>
    <col min="3" max="3" width="6.57421875" style="88" customWidth="1"/>
    <col min="4" max="4" width="5.57421875" style="88" customWidth="1"/>
    <col min="5" max="5" width="30.8515625" style="57" customWidth="1"/>
    <col min="6" max="6" width="11.140625" style="57" customWidth="1"/>
    <col min="7" max="7" width="10.8515625" style="57" bestFit="1" customWidth="1"/>
    <col min="8" max="8" width="10.421875" style="57" customWidth="1"/>
    <col min="9" max="9" width="7.8515625" style="57" bestFit="1" customWidth="1"/>
    <col min="10" max="11" width="9.421875" style="57" customWidth="1"/>
    <col min="12" max="13" width="9.57421875" style="57" customWidth="1"/>
    <col min="14" max="14" width="9.00390625" style="57" customWidth="1"/>
    <col min="15" max="15" width="8.421875" style="57" customWidth="1"/>
    <col min="16" max="16" width="10.140625" style="57" customWidth="1"/>
    <col min="17" max="17" width="6.28125" style="57" customWidth="1"/>
    <col min="18" max="18" width="11.140625" style="57" customWidth="1"/>
    <col min="19" max="19" width="9.8515625" style="57" customWidth="1"/>
    <col min="20" max="20" width="11.57421875" style="57" customWidth="1"/>
    <col min="21" max="21" width="12.140625" style="57" customWidth="1"/>
    <col min="22" max="22" width="9.00390625" style="57" customWidth="1"/>
    <col min="23" max="23" width="11.421875" style="57" customWidth="1"/>
    <col min="24" max="24" width="12.28125" style="57" customWidth="1"/>
    <col min="25" max="25" width="12.140625" style="57" customWidth="1"/>
    <col min="26" max="26" width="11.00390625" style="57" bestFit="1" customWidth="1"/>
    <col min="27" max="27" width="10.7109375" style="57" customWidth="1"/>
    <col min="28" max="28" width="11.8515625" style="57" customWidth="1"/>
    <col min="29" max="29" width="10.28125" style="57" customWidth="1"/>
    <col min="30" max="30" width="6.7109375" style="57" customWidth="1"/>
    <col min="31" max="31" width="11.00390625" style="57" customWidth="1"/>
    <col min="32" max="32" width="1.1484375" style="57" hidden="1" customWidth="1"/>
    <col min="33" max="33" width="4.57421875" style="57" customWidth="1"/>
    <col min="34" max="16384" width="9.140625" style="57" customWidth="1"/>
  </cols>
  <sheetData>
    <row r="1" spans="1:32" s="11" customFormat="1" ht="16.5" customHeight="1">
      <c r="A1" s="493" t="s">
        <v>32</v>
      </c>
      <c r="B1" s="489" t="s">
        <v>33</v>
      </c>
      <c r="C1" s="489" t="s">
        <v>34</v>
      </c>
      <c r="D1" s="489" t="s">
        <v>35</v>
      </c>
      <c r="E1" s="489" t="s">
        <v>36</v>
      </c>
      <c r="F1" s="491" t="s">
        <v>37</v>
      </c>
      <c r="G1" s="491" t="s">
        <v>38</v>
      </c>
      <c r="H1" s="489" t="s">
        <v>39</v>
      </c>
      <c r="I1" s="489" t="s">
        <v>40</v>
      </c>
      <c r="J1" s="489" t="s">
        <v>41</v>
      </c>
      <c r="K1" s="489" t="s">
        <v>42</v>
      </c>
      <c r="L1" s="489" t="s">
        <v>43</v>
      </c>
      <c r="M1" s="489" t="s">
        <v>44</v>
      </c>
      <c r="N1" s="489" t="s">
        <v>45</v>
      </c>
      <c r="O1" s="489" t="s">
        <v>46</v>
      </c>
      <c r="P1" s="489" t="s">
        <v>47</v>
      </c>
      <c r="Q1" s="489" t="s">
        <v>48</v>
      </c>
      <c r="R1" s="489" t="s">
        <v>49</v>
      </c>
      <c r="S1" s="498" t="s">
        <v>50</v>
      </c>
      <c r="T1" s="489" t="s">
        <v>51</v>
      </c>
      <c r="U1" s="489" t="s">
        <v>52</v>
      </c>
      <c r="V1" s="489" t="s">
        <v>53</v>
      </c>
      <c r="W1" s="489" t="s">
        <v>54</v>
      </c>
      <c r="X1" s="489" t="s">
        <v>55</v>
      </c>
      <c r="Y1" s="489" t="s">
        <v>56</v>
      </c>
      <c r="Z1" s="489" t="s">
        <v>57</v>
      </c>
      <c r="AA1" s="489" t="s">
        <v>58</v>
      </c>
      <c r="AB1" s="489" t="s">
        <v>59</v>
      </c>
      <c r="AC1" s="489" t="s">
        <v>60</v>
      </c>
      <c r="AD1" s="489" t="s">
        <v>61</v>
      </c>
      <c r="AE1" s="489" t="s">
        <v>62</v>
      </c>
      <c r="AF1" s="10"/>
    </row>
    <row r="2" spans="1:32" s="13" customFormat="1" ht="60" customHeight="1" thickBot="1">
      <c r="A2" s="494"/>
      <c r="B2" s="490"/>
      <c r="C2" s="490"/>
      <c r="D2" s="490"/>
      <c r="E2" s="490"/>
      <c r="F2" s="492"/>
      <c r="G2" s="492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9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12" t="s">
        <v>63</v>
      </c>
    </row>
    <row r="3" spans="1:33" s="20" customFormat="1" ht="12.75" customHeight="1">
      <c r="A3" s="14" t="s">
        <v>64</v>
      </c>
      <c r="B3" s="15" t="s">
        <v>65</v>
      </c>
      <c r="C3" s="16" t="s">
        <v>66</v>
      </c>
      <c r="D3" s="16" t="s">
        <v>67</v>
      </c>
      <c r="E3" s="15" t="s">
        <v>68</v>
      </c>
      <c r="F3" s="15">
        <v>15581500</v>
      </c>
      <c r="G3" s="15">
        <v>4935800</v>
      </c>
      <c r="H3" s="15">
        <v>11228200</v>
      </c>
      <c r="I3" s="15"/>
      <c r="J3" s="15"/>
      <c r="K3" s="15"/>
      <c r="L3" s="15"/>
      <c r="M3" s="15"/>
      <c r="N3" s="15"/>
      <c r="O3" s="15"/>
      <c r="P3" s="15">
        <v>987500</v>
      </c>
      <c r="Q3" s="15"/>
      <c r="R3" s="17"/>
      <c r="S3" s="15"/>
      <c r="T3" s="18">
        <f aca="true" t="shared" si="0" ref="T3:T19">SUM(F3:S3)</f>
        <v>32733000</v>
      </c>
      <c r="U3" s="15">
        <v>13562000</v>
      </c>
      <c r="V3" s="15"/>
      <c r="W3" s="15">
        <v>490000</v>
      </c>
      <c r="X3" s="15"/>
      <c r="Y3" s="15"/>
      <c r="Z3" s="15">
        <v>2254400</v>
      </c>
      <c r="AA3" s="15">
        <v>10000</v>
      </c>
      <c r="AB3" s="15">
        <v>16416600</v>
      </c>
      <c r="AC3" s="15"/>
      <c r="AD3" s="15"/>
      <c r="AE3" s="18">
        <f>SUM(U3:AD3)</f>
        <v>32733000</v>
      </c>
      <c r="AF3" s="19">
        <f>T3-AE3</f>
        <v>0</v>
      </c>
      <c r="AG3" s="19">
        <f aca="true" t="shared" si="1" ref="AG3:AG34">AE3-T3</f>
        <v>0</v>
      </c>
    </row>
    <row r="4" spans="1:33" s="20" customFormat="1" ht="12.75">
      <c r="A4" s="14"/>
      <c r="B4" s="14" t="s">
        <v>69</v>
      </c>
      <c r="C4" s="16" t="s">
        <v>70</v>
      </c>
      <c r="D4" s="16" t="s">
        <v>71</v>
      </c>
      <c r="E4" s="21" t="s">
        <v>72</v>
      </c>
      <c r="F4" s="15"/>
      <c r="G4" s="15"/>
      <c r="H4" s="15">
        <v>-13500</v>
      </c>
      <c r="I4" s="15"/>
      <c r="J4" s="15"/>
      <c r="K4" s="15"/>
      <c r="L4" s="15">
        <v>13500</v>
      </c>
      <c r="M4" s="15"/>
      <c r="N4" s="15"/>
      <c r="O4" s="15"/>
      <c r="P4" s="15"/>
      <c r="Q4" s="15"/>
      <c r="R4" s="15"/>
      <c r="S4" s="15"/>
      <c r="T4" s="18">
        <f t="shared" si="0"/>
        <v>0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8">
        <f>SUM(U4:AD4)</f>
        <v>0</v>
      </c>
      <c r="AF4" s="19">
        <f>T4-AE4</f>
        <v>0</v>
      </c>
      <c r="AG4" s="19">
        <f t="shared" si="1"/>
        <v>0</v>
      </c>
    </row>
    <row r="5" spans="1:33" s="20" customFormat="1" ht="12.75" customHeight="1">
      <c r="A5" s="14"/>
      <c r="B5" s="14" t="s">
        <v>73</v>
      </c>
      <c r="C5" s="16" t="s">
        <v>74</v>
      </c>
      <c r="D5" s="16" t="s">
        <v>71</v>
      </c>
      <c r="E5" s="22" t="s">
        <v>75</v>
      </c>
      <c r="F5" s="14"/>
      <c r="G5" s="14"/>
      <c r="H5" s="14">
        <v>-10000</v>
      </c>
      <c r="I5" s="14"/>
      <c r="J5" s="14"/>
      <c r="K5" s="15">
        <v>10000</v>
      </c>
      <c r="L5" s="15"/>
      <c r="M5" s="15"/>
      <c r="N5" s="15"/>
      <c r="O5" s="14"/>
      <c r="P5" s="14"/>
      <c r="Q5" s="15"/>
      <c r="R5" s="15"/>
      <c r="S5" s="15"/>
      <c r="T5" s="18">
        <f t="shared" si="0"/>
        <v>0</v>
      </c>
      <c r="U5" s="14"/>
      <c r="V5" s="15"/>
      <c r="W5" s="14"/>
      <c r="X5" s="14"/>
      <c r="Y5" s="14"/>
      <c r="Z5" s="15"/>
      <c r="AA5" s="14"/>
      <c r="AB5" s="14"/>
      <c r="AC5" s="15"/>
      <c r="AD5" s="15"/>
      <c r="AE5" s="18">
        <f>SUM(U5:AD5)</f>
        <v>0</v>
      </c>
      <c r="AF5" s="19">
        <f>T5-AE5</f>
        <v>0</v>
      </c>
      <c r="AG5" s="19">
        <f t="shared" si="1"/>
        <v>0</v>
      </c>
    </row>
    <row r="6" spans="1:33" s="20" customFormat="1" ht="12.75">
      <c r="A6" s="14"/>
      <c r="B6" s="14" t="s">
        <v>76</v>
      </c>
      <c r="C6" s="23" t="s">
        <v>77</v>
      </c>
      <c r="D6" s="16" t="s">
        <v>71</v>
      </c>
      <c r="E6" s="22" t="s">
        <v>75</v>
      </c>
      <c r="F6" s="14"/>
      <c r="G6" s="14"/>
      <c r="H6" s="14">
        <v>-10000</v>
      </c>
      <c r="I6" s="14"/>
      <c r="J6" s="14"/>
      <c r="K6" s="15"/>
      <c r="L6" s="15">
        <v>10000</v>
      </c>
      <c r="M6" s="15"/>
      <c r="N6" s="15"/>
      <c r="O6" s="14"/>
      <c r="P6" s="14"/>
      <c r="Q6" s="14"/>
      <c r="R6" s="14"/>
      <c r="S6" s="15"/>
      <c r="T6" s="18">
        <f t="shared" si="0"/>
        <v>0</v>
      </c>
      <c r="U6" s="14"/>
      <c r="V6" s="15"/>
      <c r="W6" s="14"/>
      <c r="X6" s="14"/>
      <c r="Y6" s="14"/>
      <c r="Z6" s="15"/>
      <c r="AA6" s="14"/>
      <c r="AB6" s="14"/>
      <c r="AC6" s="15"/>
      <c r="AD6" s="15"/>
      <c r="AE6" s="18">
        <f>SUM(U6:AD6)</f>
        <v>0</v>
      </c>
      <c r="AF6" s="19">
        <f>T6-AE6</f>
        <v>0</v>
      </c>
      <c r="AG6" s="19">
        <f t="shared" si="1"/>
        <v>0</v>
      </c>
    </row>
    <row r="7" spans="1:33" s="27" customFormat="1" ht="13.5">
      <c r="A7" s="24"/>
      <c r="B7" s="495" t="s">
        <v>78</v>
      </c>
      <c r="C7" s="496"/>
      <c r="D7" s="496"/>
      <c r="E7" s="497"/>
      <c r="F7" s="24">
        <f aca="true" t="shared" si="2" ref="F7:S7">SUM(F3:F6)</f>
        <v>15581500</v>
      </c>
      <c r="G7" s="24">
        <f t="shared" si="2"/>
        <v>4935800</v>
      </c>
      <c r="H7" s="24">
        <f t="shared" si="2"/>
        <v>11194700</v>
      </c>
      <c r="I7" s="24">
        <f t="shared" si="2"/>
        <v>0</v>
      </c>
      <c r="J7" s="24">
        <f t="shared" si="2"/>
        <v>0</v>
      </c>
      <c r="K7" s="24">
        <f t="shared" si="2"/>
        <v>10000</v>
      </c>
      <c r="L7" s="24">
        <f t="shared" si="2"/>
        <v>23500</v>
      </c>
      <c r="M7" s="24">
        <f t="shared" si="2"/>
        <v>0</v>
      </c>
      <c r="N7" s="24">
        <f t="shared" si="2"/>
        <v>0</v>
      </c>
      <c r="O7" s="24">
        <f t="shared" si="2"/>
        <v>0</v>
      </c>
      <c r="P7" s="24">
        <f t="shared" si="2"/>
        <v>987500</v>
      </c>
      <c r="Q7" s="24">
        <f t="shared" si="2"/>
        <v>0</v>
      </c>
      <c r="R7" s="24">
        <f t="shared" si="2"/>
        <v>0</v>
      </c>
      <c r="S7" s="24">
        <f t="shared" si="2"/>
        <v>0</v>
      </c>
      <c r="T7" s="25">
        <f t="shared" si="0"/>
        <v>32733000</v>
      </c>
      <c r="U7" s="24">
        <f aca="true" t="shared" si="3" ref="U7:AE7">SUM(U3:U6)</f>
        <v>13562000</v>
      </c>
      <c r="V7" s="24">
        <f t="shared" si="3"/>
        <v>0</v>
      </c>
      <c r="W7" s="24">
        <f t="shared" si="3"/>
        <v>490000</v>
      </c>
      <c r="X7" s="24">
        <f t="shared" si="3"/>
        <v>0</v>
      </c>
      <c r="Y7" s="24">
        <f t="shared" si="3"/>
        <v>0</v>
      </c>
      <c r="Z7" s="24">
        <f t="shared" si="3"/>
        <v>2254400</v>
      </c>
      <c r="AA7" s="24">
        <f t="shared" si="3"/>
        <v>10000</v>
      </c>
      <c r="AB7" s="24">
        <f t="shared" si="3"/>
        <v>16416600</v>
      </c>
      <c r="AC7" s="24">
        <f t="shared" si="3"/>
        <v>0</v>
      </c>
      <c r="AD7" s="24">
        <f t="shared" si="3"/>
        <v>0</v>
      </c>
      <c r="AE7" s="24">
        <f t="shared" si="3"/>
        <v>32733000</v>
      </c>
      <c r="AF7" s="26"/>
      <c r="AG7" s="19">
        <f t="shared" si="1"/>
        <v>0</v>
      </c>
    </row>
    <row r="8" spans="1:33" s="20" customFormat="1" ht="12.75" customHeight="1">
      <c r="A8" s="14"/>
      <c r="B8" s="14" t="s">
        <v>79</v>
      </c>
      <c r="C8" s="23" t="s">
        <v>80</v>
      </c>
      <c r="D8" s="23" t="s">
        <v>71</v>
      </c>
      <c r="E8" s="28" t="s">
        <v>81</v>
      </c>
      <c r="F8" s="14"/>
      <c r="G8" s="14"/>
      <c r="H8" s="14"/>
      <c r="I8" s="14"/>
      <c r="J8" s="14">
        <v>58248</v>
      </c>
      <c r="K8" s="14"/>
      <c r="L8" s="14"/>
      <c r="M8" s="14"/>
      <c r="N8" s="14"/>
      <c r="O8" s="14"/>
      <c r="P8" s="14"/>
      <c r="Q8" s="14"/>
      <c r="R8" s="14">
        <v>44775</v>
      </c>
      <c r="S8" s="15"/>
      <c r="T8" s="18">
        <f t="shared" si="0"/>
        <v>103023</v>
      </c>
      <c r="U8" s="14"/>
      <c r="V8" s="15"/>
      <c r="W8" s="14"/>
      <c r="X8" s="14"/>
      <c r="Y8" s="14"/>
      <c r="Z8" s="15"/>
      <c r="AA8" s="14"/>
      <c r="AB8" s="14"/>
      <c r="AC8" s="15">
        <v>103023</v>
      </c>
      <c r="AD8" s="29"/>
      <c r="AE8" s="18">
        <f aca="true" t="shared" si="4" ref="AE8:AE19">SUM(U8:AD8)</f>
        <v>103023</v>
      </c>
      <c r="AF8" s="19">
        <f>T8-AE8</f>
        <v>0</v>
      </c>
      <c r="AG8" s="19">
        <f t="shared" si="1"/>
        <v>0</v>
      </c>
    </row>
    <row r="9" spans="1:33" s="20" customFormat="1" ht="12.75">
      <c r="A9" s="14"/>
      <c r="B9" s="15" t="s">
        <v>82</v>
      </c>
      <c r="C9" s="23" t="s">
        <v>83</v>
      </c>
      <c r="D9" s="23" t="s">
        <v>84</v>
      </c>
      <c r="E9" s="14" t="s">
        <v>85</v>
      </c>
      <c r="F9" s="14">
        <v>592704</v>
      </c>
      <c r="G9" s="14">
        <v>189665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8">
        <f t="shared" si="0"/>
        <v>782369</v>
      </c>
      <c r="U9" s="14"/>
      <c r="V9" s="14"/>
      <c r="W9" s="14"/>
      <c r="X9" s="14"/>
      <c r="Y9" s="14"/>
      <c r="Z9" s="14"/>
      <c r="AA9" s="14"/>
      <c r="AB9" s="14">
        <v>782369</v>
      </c>
      <c r="AC9" s="14"/>
      <c r="AD9" s="15"/>
      <c r="AE9" s="18">
        <f t="shared" si="4"/>
        <v>782369</v>
      </c>
      <c r="AF9" s="19">
        <f>T9-AE9</f>
        <v>0</v>
      </c>
      <c r="AG9" s="19">
        <f t="shared" si="1"/>
        <v>0</v>
      </c>
    </row>
    <row r="10" spans="1:33" s="27" customFormat="1" ht="12.75" customHeight="1">
      <c r="A10" s="24"/>
      <c r="B10" s="495" t="s">
        <v>86</v>
      </c>
      <c r="C10" s="496"/>
      <c r="D10" s="496"/>
      <c r="E10" s="497"/>
      <c r="F10" s="24">
        <f aca="true" t="shared" si="5" ref="F10:S10">SUM(F8:F9)</f>
        <v>592704</v>
      </c>
      <c r="G10" s="24">
        <f t="shared" si="5"/>
        <v>189665</v>
      </c>
      <c r="H10" s="24">
        <f t="shared" si="5"/>
        <v>0</v>
      </c>
      <c r="I10" s="24">
        <f t="shared" si="5"/>
        <v>0</v>
      </c>
      <c r="J10" s="24">
        <f t="shared" si="5"/>
        <v>58248</v>
      </c>
      <c r="K10" s="24">
        <f t="shared" si="5"/>
        <v>0</v>
      </c>
      <c r="L10" s="24">
        <f t="shared" si="5"/>
        <v>0</v>
      </c>
      <c r="M10" s="24">
        <f t="shared" si="5"/>
        <v>0</v>
      </c>
      <c r="N10" s="24">
        <f t="shared" si="5"/>
        <v>0</v>
      </c>
      <c r="O10" s="24">
        <f t="shared" si="5"/>
        <v>0</v>
      </c>
      <c r="P10" s="24">
        <f t="shared" si="5"/>
        <v>0</v>
      </c>
      <c r="Q10" s="24">
        <f t="shared" si="5"/>
        <v>0</v>
      </c>
      <c r="R10" s="24">
        <f t="shared" si="5"/>
        <v>44775</v>
      </c>
      <c r="S10" s="24">
        <f t="shared" si="5"/>
        <v>0</v>
      </c>
      <c r="T10" s="25">
        <f t="shared" si="0"/>
        <v>885392</v>
      </c>
      <c r="U10" s="24">
        <f aca="true" t="shared" si="6" ref="U10:AD10">SUM(U8:U9)</f>
        <v>0</v>
      </c>
      <c r="V10" s="24">
        <f t="shared" si="6"/>
        <v>0</v>
      </c>
      <c r="W10" s="24">
        <f t="shared" si="6"/>
        <v>0</v>
      </c>
      <c r="X10" s="24">
        <f t="shared" si="6"/>
        <v>0</v>
      </c>
      <c r="Y10" s="24">
        <f t="shared" si="6"/>
        <v>0</v>
      </c>
      <c r="Z10" s="24">
        <f t="shared" si="6"/>
        <v>0</v>
      </c>
      <c r="AA10" s="24">
        <f t="shared" si="6"/>
        <v>0</v>
      </c>
      <c r="AB10" s="24">
        <f t="shared" si="6"/>
        <v>782369</v>
      </c>
      <c r="AC10" s="24">
        <f t="shared" si="6"/>
        <v>103023</v>
      </c>
      <c r="AD10" s="24">
        <f t="shared" si="6"/>
        <v>0</v>
      </c>
      <c r="AE10" s="25">
        <f t="shared" si="4"/>
        <v>885392</v>
      </c>
      <c r="AF10" s="26">
        <f>T10-AE10</f>
        <v>0</v>
      </c>
      <c r="AG10" s="26">
        <f t="shared" si="1"/>
        <v>0</v>
      </c>
    </row>
    <row r="11" spans="1:33" s="20" customFormat="1" ht="12.75">
      <c r="A11" s="30"/>
      <c r="B11" s="14" t="s">
        <v>87</v>
      </c>
      <c r="C11" s="31" t="s">
        <v>88</v>
      </c>
      <c r="D11" s="31" t="s">
        <v>71</v>
      </c>
      <c r="E11" s="14" t="s">
        <v>46</v>
      </c>
      <c r="F11" s="14"/>
      <c r="G11" s="14"/>
      <c r="H11" s="14"/>
      <c r="I11" s="14"/>
      <c r="J11" s="14"/>
      <c r="K11" s="14"/>
      <c r="L11" s="14"/>
      <c r="M11" s="14"/>
      <c r="N11" s="14"/>
      <c r="O11" s="14">
        <v>20000</v>
      </c>
      <c r="P11" s="14">
        <v>-20000</v>
      </c>
      <c r="Q11" s="14"/>
      <c r="R11" s="14"/>
      <c r="S11" s="15"/>
      <c r="T11" s="18">
        <f t="shared" si="0"/>
        <v>0</v>
      </c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18">
        <f t="shared" si="4"/>
        <v>0</v>
      </c>
      <c r="AF11" s="19"/>
      <c r="AG11" s="19">
        <f t="shared" si="1"/>
        <v>0</v>
      </c>
    </row>
    <row r="12" spans="1:33" s="20" customFormat="1" ht="12.75">
      <c r="A12" s="30"/>
      <c r="B12" s="22" t="s">
        <v>89</v>
      </c>
      <c r="C12" s="31" t="s">
        <v>90</v>
      </c>
      <c r="D12" s="31" t="s">
        <v>91</v>
      </c>
      <c r="E12" s="32" t="s">
        <v>92</v>
      </c>
      <c r="F12" s="14"/>
      <c r="G12" s="14"/>
      <c r="H12" s="14">
        <v>3000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8">
        <f t="shared" si="0"/>
        <v>3000</v>
      </c>
      <c r="U12" s="14"/>
      <c r="V12" s="14"/>
      <c r="W12" s="14"/>
      <c r="X12" s="14"/>
      <c r="Y12" s="14"/>
      <c r="Z12" s="14"/>
      <c r="AA12" s="14"/>
      <c r="AB12" s="14">
        <v>3000</v>
      </c>
      <c r="AC12" s="14"/>
      <c r="AD12" s="15"/>
      <c r="AE12" s="18">
        <f t="shared" si="4"/>
        <v>3000</v>
      </c>
      <c r="AF12" s="19"/>
      <c r="AG12" s="19">
        <f t="shared" si="1"/>
        <v>0</v>
      </c>
    </row>
    <row r="13" spans="1:33" s="20" customFormat="1" ht="12.75">
      <c r="A13" s="30"/>
      <c r="B13" s="22" t="s">
        <v>93</v>
      </c>
      <c r="C13" s="31" t="s">
        <v>94</v>
      </c>
      <c r="D13" s="31" t="s">
        <v>91</v>
      </c>
      <c r="E13" s="14" t="s">
        <v>95</v>
      </c>
      <c r="F13" s="14">
        <v>4600</v>
      </c>
      <c r="G13" s="14">
        <v>1334</v>
      </c>
      <c r="H13" s="14">
        <v>2466</v>
      </c>
      <c r="I13" s="14"/>
      <c r="J13" s="14"/>
      <c r="K13" s="14"/>
      <c r="L13" s="14"/>
      <c r="M13" s="14"/>
      <c r="N13" s="14"/>
      <c r="O13" s="14"/>
      <c r="P13" s="14">
        <v>300</v>
      </c>
      <c r="Q13" s="14"/>
      <c r="R13" s="14"/>
      <c r="S13" s="15"/>
      <c r="T13" s="18">
        <f t="shared" si="0"/>
        <v>8700</v>
      </c>
      <c r="U13" s="14"/>
      <c r="V13" s="14"/>
      <c r="W13" s="14"/>
      <c r="X13" s="14"/>
      <c r="Y13" s="14"/>
      <c r="Z13" s="14"/>
      <c r="AA13" s="14"/>
      <c r="AB13" s="14">
        <v>8700</v>
      </c>
      <c r="AC13" s="14"/>
      <c r="AD13" s="15"/>
      <c r="AE13" s="18">
        <f t="shared" si="4"/>
        <v>8700</v>
      </c>
      <c r="AF13" s="19"/>
      <c r="AG13" s="19">
        <f t="shared" si="1"/>
        <v>0</v>
      </c>
    </row>
    <row r="14" spans="1:33" s="27" customFormat="1" ht="13.5">
      <c r="A14" s="33"/>
      <c r="B14" s="495" t="s">
        <v>96</v>
      </c>
      <c r="C14" s="496"/>
      <c r="D14" s="496"/>
      <c r="E14" s="497"/>
      <c r="F14" s="24">
        <f aca="true" t="shared" si="7" ref="F14:S14">SUM(F11:F13)</f>
        <v>4600</v>
      </c>
      <c r="G14" s="24">
        <f t="shared" si="7"/>
        <v>1334</v>
      </c>
      <c r="H14" s="24">
        <f t="shared" si="7"/>
        <v>5466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20000</v>
      </c>
      <c r="P14" s="24">
        <f t="shared" si="7"/>
        <v>-19700</v>
      </c>
      <c r="Q14" s="24">
        <f t="shared" si="7"/>
        <v>0</v>
      </c>
      <c r="R14" s="24">
        <f t="shared" si="7"/>
        <v>0</v>
      </c>
      <c r="S14" s="24">
        <f t="shared" si="7"/>
        <v>0</v>
      </c>
      <c r="T14" s="25">
        <f t="shared" si="0"/>
        <v>11700</v>
      </c>
      <c r="U14" s="24">
        <f aca="true" t="shared" si="8" ref="U14:AD14">SUM(U11:U13)</f>
        <v>0</v>
      </c>
      <c r="V14" s="24">
        <f t="shared" si="8"/>
        <v>0</v>
      </c>
      <c r="W14" s="24">
        <f t="shared" si="8"/>
        <v>0</v>
      </c>
      <c r="X14" s="24">
        <f t="shared" si="8"/>
        <v>0</v>
      </c>
      <c r="Y14" s="24">
        <f t="shared" si="8"/>
        <v>0</v>
      </c>
      <c r="Z14" s="24">
        <f t="shared" si="8"/>
        <v>0</v>
      </c>
      <c r="AA14" s="24">
        <f t="shared" si="8"/>
        <v>0</v>
      </c>
      <c r="AB14" s="24">
        <f t="shared" si="8"/>
        <v>11700</v>
      </c>
      <c r="AC14" s="24">
        <f t="shared" si="8"/>
        <v>0</v>
      </c>
      <c r="AD14" s="24">
        <f t="shared" si="8"/>
        <v>0</v>
      </c>
      <c r="AE14" s="25">
        <f t="shared" si="4"/>
        <v>11700</v>
      </c>
      <c r="AF14" s="26"/>
      <c r="AG14" s="26">
        <f t="shared" si="1"/>
        <v>0</v>
      </c>
    </row>
    <row r="15" spans="1:33" s="20" customFormat="1" ht="12.75">
      <c r="A15" s="30"/>
      <c r="B15" s="22" t="s">
        <v>97</v>
      </c>
      <c r="C15" s="31" t="s">
        <v>98</v>
      </c>
      <c r="D15" s="31" t="s">
        <v>99</v>
      </c>
      <c r="E15" s="34" t="s">
        <v>100</v>
      </c>
      <c r="F15" s="14">
        <v>25508</v>
      </c>
      <c r="G15" s="14">
        <v>5000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8">
        <f t="shared" si="0"/>
        <v>30508</v>
      </c>
      <c r="U15" s="14"/>
      <c r="V15" s="14"/>
      <c r="W15" s="14"/>
      <c r="X15" s="14"/>
      <c r="Y15" s="14"/>
      <c r="Z15" s="14"/>
      <c r="AA15" s="14"/>
      <c r="AB15" s="14">
        <v>30508</v>
      </c>
      <c r="AC15" s="14"/>
      <c r="AD15" s="15"/>
      <c r="AE15" s="18">
        <f t="shared" si="4"/>
        <v>30508</v>
      </c>
      <c r="AF15" s="19"/>
      <c r="AG15" s="19">
        <f t="shared" si="1"/>
        <v>0</v>
      </c>
    </row>
    <row r="16" spans="1:33" s="20" customFormat="1" ht="12.75">
      <c r="A16" s="30"/>
      <c r="B16" s="14" t="s">
        <v>101</v>
      </c>
      <c r="C16" s="31" t="s">
        <v>102</v>
      </c>
      <c r="D16" s="31" t="s">
        <v>103</v>
      </c>
      <c r="E16" s="35" t="s">
        <v>104</v>
      </c>
      <c r="F16" s="14"/>
      <c r="G16" s="14"/>
      <c r="H16" s="14">
        <v>77202</v>
      </c>
      <c r="I16" s="14"/>
      <c r="J16" s="14"/>
      <c r="K16" s="14"/>
      <c r="L16" s="14"/>
      <c r="M16" s="14"/>
      <c r="N16" s="14"/>
      <c r="O16" s="14"/>
      <c r="P16" s="14">
        <v>43956</v>
      </c>
      <c r="Q16" s="14"/>
      <c r="R16" s="14"/>
      <c r="S16" s="15"/>
      <c r="T16" s="18">
        <f t="shared" si="0"/>
        <v>121158</v>
      </c>
      <c r="U16" s="14"/>
      <c r="V16" s="14"/>
      <c r="W16" s="14"/>
      <c r="X16" s="14"/>
      <c r="Y16" s="14"/>
      <c r="Z16" s="14"/>
      <c r="AA16" s="14"/>
      <c r="AB16" s="14">
        <v>0</v>
      </c>
      <c r="AC16" s="14">
        <v>121158</v>
      </c>
      <c r="AD16" s="15"/>
      <c r="AE16" s="18">
        <f t="shared" si="4"/>
        <v>121158</v>
      </c>
      <c r="AF16" s="19"/>
      <c r="AG16" s="19">
        <f t="shared" si="1"/>
        <v>0</v>
      </c>
    </row>
    <row r="17" spans="1:33" s="20" customFormat="1" ht="12.75">
      <c r="A17" s="30"/>
      <c r="B17" s="14" t="s">
        <v>105</v>
      </c>
      <c r="C17" s="31" t="s">
        <v>102</v>
      </c>
      <c r="D17" s="31" t="s">
        <v>103</v>
      </c>
      <c r="E17" s="22" t="s">
        <v>75</v>
      </c>
      <c r="F17" s="14"/>
      <c r="G17" s="14"/>
      <c r="H17" s="14">
        <v>-10000</v>
      </c>
      <c r="I17" s="14"/>
      <c r="J17" s="14"/>
      <c r="K17" s="14"/>
      <c r="L17" s="14">
        <v>10000</v>
      </c>
      <c r="M17" s="14"/>
      <c r="N17" s="14"/>
      <c r="O17" s="14"/>
      <c r="P17" s="14"/>
      <c r="Q17" s="14"/>
      <c r="R17" s="14"/>
      <c r="S17" s="15"/>
      <c r="T17" s="18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4"/>
      <c r="AD17" s="15"/>
      <c r="AE17" s="18">
        <f t="shared" si="4"/>
        <v>0</v>
      </c>
      <c r="AF17" s="19"/>
      <c r="AG17" s="19">
        <f t="shared" si="1"/>
        <v>0</v>
      </c>
    </row>
    <row r="18" spans="1:33" s="20" customFormat="1" ht="12.75">
      <c r="A18" s="30"/>
      <c r="B18" s="14" t="s">
        <v>106</v>
      </c>
      <c r="C18" s="31" t="s">
        <v>107</v>
      </c>
      <c r="D18" s="31" t="s">
        <v>103</v>
      </c>
      <c r="E18" s="22" t="s">
        <v>75</v>
      </c>
      <c r="F18" s="14"/>
      <c r="G18" s="14"/>
      <c r="H18" s="14">
        <v>-10000</v>
      </c>
      <c r="I18" s="14"/>
      <c r="J18" s="14"/>
      <c r="K18" s="14">
        <v>10000</v>
      </c>
      <c r="L18" s="14"/>
      <c r="M18" s="14"/>
      <c r="N18" s="14"/>
      <c r="O18" s="14"/>
      <c r="P18" s="14"/>
      <c r="Q18" s="14"/>
      <c r="R18" s="14"/>
      <c r="S18" s="15"/>
      <c r="T18" s="18">
        <f t="shared" si="0"/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8">
        <f t="shared" si="4"/>
        <v>0</v>
      </c>
      <c r="AF18" s="19"/>
      <c r="AG18" s="19">
        <f t="shared" si="1"/>
        <v>0</v>
      </c>
    </row>
    <row r="19" spans="1:33" s="39" customFormat="1" ht="12.75">
      <c r="A19" s="36"/>
      <c r="B19" s="22" t="s">
        <v>108</v>
      </c>
      <c r="C19" s="31" t="s">
        <v>109</v>
      </c>
      <c r="D19" s="31" t="s">
        <v>99</v>
      </c>
      <c r="E19" s="35" t="s">
        <v>110</v>
      </c>
      <c r="F19" s="37">
        <v>46616</v>
      </c>
      <c r="G19" s="37">
        <v>3000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18">
        <f t="shared" si="0"/>
        <v>49616</v>
      </c>
      <c r="U19" s="37"/>
      <c r="V19" s="37"/>
      <c r="W19" s="37"/>
      <c r="X19" s="37"/>
      <c r="Y19" s="37"/>
      <c r="Z19" s="37"/>
      <c r="AA19" s="37"/>
      <c r="AB19" s="37">
        <v>49616</v>
      </c>
      <c r="AC19" s="37"/>
      <c r="AD19" s="38"/>
      <c r="AE19" s="18">
        <f t="shared" si="4"/>
        <v>49616</v>
      </c>
      <c r="AF19" s="19"/>
      <c r="AG19" s="19">
        <f t="shared" si="1"/>
        <v>0</v>
      </c>
    </row>
    <row r="20" spans="1:33" s="27" customFormat="1" ht="13.5">
      <c r="A20" s="33"/>
      <c r="B20" s="495" t="s">
        <v>111</v>
      </c>
      <c r="C20" s="496"/>
      <c r="D20" s="496"/>
      <c r="E20" s="497"/>
      <c r="F20" s="24">
        <f aca="true" t="shared" si="9" ref="F20:AE20">SUM(F15:F19)</f>
        <v>72124</v>
      </c>
      <c r="G20" s="24">
        <f t="shared" si="9"/>
        <v>8000</v>
      </c>
      <c r="H20" s="24">
        <f t="shared" si="9"/>
        <v>57202</v>
      </c>
      <c r="I20" s="24">
        <f t="shared" si="9"/>
        <v>0</v>
      </c>
      <c r="J20" s="24">
        <f t="shared" si="9"/>
        <v>0</v>
      </c>
      <c r="K20" s="24">
        <f t="shared" si="9"/>
        <v>10000</v>
      </c>
      <c r="L20" s="24">
        <f t="shared" si="9"/>
        <v>10000</v>
      </c>
      <c r="M20" s="24">
        <f t="shared" si="9"/>
        <v>0</v>
      </c>
      <c r="N20" s="24">
        <f t="shared" si="9"/>
        <v>0</v>
      </c>
      <c r="O20" s="24">
        <f t="shared" si="9"/>
        <v>0</v>
      </c>
      <c r="P20" s="24">
        <f t="shared" si="9"/>
        <v>43956</v>
      </c>
      <c r="Q20" s="24">
        <f t="shared" si="9"/>
        <v>0</v>
      </c>
      <c r="R20" s="24">
        <f t="shared" si="9"/>
        <v>0</v>
      </c>
      <c r="S20" s="24">
        <f t="shared" si="9"/>
        <v>0</v>
      </c>
      <c r="T20" s="24">
        <f t="shared" si="9"/>
        <v>201282</v>
      </c>
      <c r="U20" s="24">
        <f t="shared" si="9"/>
        <v>0</v>
      </c>
      <c r="V20" s="24">
        <f t="shared" si="9"/>
        <v>0</v>
      </c>
      <c r="W20" s="24">
        <f t="shared" si="9"/>
        <v>0</v>
      </c>
      <c r="X20" s="24">
        <f t="shared" si="9"/>
        <v>0</v>
      </c>
      <c r="Y20" s="24">
        <f t="shared" si="9"/>
        <v>0</v>
      </c>
      <c r="Z20" s="24">
        <f t="shared" si="9"/>
        <v>0</v>
      </c>
      <c r="AA20" s="24">
        <f t="shared" si="9"/>
        <v>0</v>
      </c>
      <c r="AB20" s="24">
        <f t="shared" si="9"/>
        <v>80124</v>
      </c>
      <c r="AC20" s="24">
        <f t="shared" si="9"/>
        <v>121158</v>
      </c>
      <c r="AD20" s="24">
        <f t="shared" si="9"/>
        <v>0</v>
      </c>
      <c r="AE20" s="24">
        <f t="shared" si="9"/>
        <v>201282</v>
      </c>
      <c r="AF20" s="26"/>
      <c r="AG20" s="26">
        <f t="shared" si="1"/>
        <v>0</v>
      </c>
    </row>
    <row r="21" spans="1:33" s="20" customFormat="1" ht="12.75">
      <c r="A21" s="30"/>
      <c r="B21" s="22" t="s">
        <v>112</v>
      </c>
      <c r="C21" s="31" t="s">
        <v>113</v>
      </c>
      <c r="D21" s="31" t="s">
        <v>99</v>
      </c>
      <c r="E21" s="34" t="s">
        <v>114</v>
      </c>
      <c r="F21" s="14">
        <v>50945</v>
      </c>
      <c r="G21" s="14">
        <v>1000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8">
        <f>SUM(F21:S21)</f>
        <v>51945</v>
      </c>
      <c r="U21" s="14"/>
      <c r="V21" s="14"/>
      <c r="W21" s="14"/>
      <c r="X21" s="14"/>
      <c r="Y21" s="14"/>
      <c r="Z21" s="14"/>
      <c r="AA21" s="14"/>
      <c r="AB21" s="14">
        <v>51945</v>
      </c>
      <c r="AC21" s="14"/>
      <c r="AD21" s="15"/>
      <c r="AE21" s="18">
        <f>SUM(U21:AD21)</f>
        <v>51945</v>
      </c>
      <c r="AF21" s="19"/>
      <c r="AG21" s="19">
        <f t="shared" si="1"/>
        <v>0</v>
      </c>
    </row>
    <row r="22" spans="1:33" s="20" customFormat="1" ht="12.75">
      <c r="A22" s="30"/>
      <c r="B22" s="14" t="s">
        <v>115</v>
      </c>
      <c r="C22" s="31" t="s">
        <v>116</v>
      </c>
      <c r="D22" s="31" t="s">
        <v>103</v>
      </c>
      <c r="E22" s="14" t="s">
        <v>117</v>
      </c>
      <c r="F22" s="14"/>
      <c r="G22" s="14"/>
      <c r="H22" s="14">
        <v>-17017</v>
      </c>
      <c r="I22" s="14"/>
      <c r="J22" s="14"/>
      <c r="K22" s="14">
        <v>17017</v>
      </c>
      <c r="L22" s="14"/>
      <c r="M22" s="14"/>
      <c r="N22" s="14"/>
      <c r="O22" s="14"/>
      <c r="P22" s="14"/>
      <c r="Q22" s="14"/>
      <c r="R22" s="14"/>
      <c r="S22" s="15"/>
      <c r="T22" s="18">
        <f>SUM(F22:S22)</f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15"/>
      <c r="AE22" s="18">
        <f>SUM(U22:AD22)</f>
        <v>0</v>
      </c>
      <c r="AF22" s="19"/>
      <c r="AG22" s="19">
        <f t="shared" si="1"/>
        <v>0</v>
      </c>
    </row>
    <row r="23" spans="1:33" s="20" customFormat="1" ht="12.75">
      <c r="A23" s="30"/>
      <c r="B23" s="14" t="s">
        <v>118</v>
      </c>
      <c r="C23" s="31"/>
      <c r="D23" s="31"/>
      <c r="E23" s="14" t="s">
        <v>119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8"/>
      <c r="U23" s="14"/>
      <c r="V23" s="14"/>
      <c r="W23" s="14"/>
      <c r="X23" s="14"/>
      <c r="Y23" s="14"/>
      <c r="Z23" s="14"/>
      <c r="AA23" s="14"/>
      <c r="AB23" s="14"/>
      <c r="AC23" s="14"/>
      <c r="AD23" s="15"/>
      <c r="AE23" s="18"/>
      <c r="AF23" s="19"/>
      <c r="AG23" s="19">
        <f t="shared" si="1"/>
        <v>0</v>
      </c>
    </row>
    <row r="24" spans="1:33" s="20" customFormat="1" ht="12.75">
      <c r="A24" s="30"/>
      <c r="B24" s="22" t="s">
        <v>108</v>
      </c>
      <c r="C24" s="31" t="s">
        <v>120</v>
      </c>
      <c r="D24" s="31" t="s">
        <v>99</v>
      </c>
      <c r="E24" s="40" t="s">
        <v>121</v>
      </c>
      <c r="F24" s="14">
        <v>279063</v>
      </c>
      <c r="G24" s="14">
        <v>87561</v>
      </c>
      <c r="H24" s="14">
        <v>72692</v>
      </c>
      <c r="I24" s="14"/>
      <c r="J24" s="14"/>
      <c r="K24" s="14"/>
      <c r="L24" s="14"/>
      <c r="M24" s="14"/>
      <c r="N24" s="14"/>
      <c r="O24" s="14"/>
      <c r="P24" s="14">
        <v>14763</v>
      </c>
      <c r="Q24" s="14"/>
      <c r="R24" s="14"/>
      <c r="S24" s="15"/>
      <c r="T24" s="18">
        <f>SUM(F24:S24)</f>
        <v>454079</v>
      </c>
      <c r="U24" s="14">
        <v>197961</v>
      </c>
      <c r="V24" s="14"/>
      <c r="W24" s="14"/>
      <c r="X24" s="14"/>
      <c r="Y24" s="14"/>
      <c r="Z24" s="14"/>
      <c r="AA24" s="14"/>
      <c r="AB24" s="14">
        <v>256118</v>
      </c>
      <c r="AC24" s="14"/>
      <c r="AD24" s="15"/>
      <c r="AE24" s="18">
        <f>SUM(U24:AD24)</f>
        <v>454079</v>
      </c>
      <c r="AF24" s="19"/>
      <c r="AG24" s="19">
        <f t="shared" si="1"/>
        <v>0</v>
      </c>
    </row>
    <row r="25" spans="1:33" s="20" customFormat="1" ht="12.75">
      <c r="A25" s="30"/>
      <c r="B25" s="14" t="s">
        <v>122</v>
      </c>
      <c r="C25" s="31" t="s">
        <v>123</v>
      </c>
      <c r="D25" s="31" t="s">
        <v>103</v>
      </c>
      <c r="E25" s="22" t="s">
        <v>124</v>
      </c>
      <c r="F25" s="14"/>
      <c r="G25" s="14"/>
      <c r="H25" s="14"/>
      <c r="I25" s="14"/>
      <c r="J25" s="14"/>
      <c r="K25" s="14">
        <v>254879</v>
      </c>
      <c r="L25" s="14"/>
      <c r="M25" s="14"/>
      <c r="N25" s="14"/>
      <c r="O25" s="14"/>
      <c r="P25" s="14"/>
      <c r="Q25" s="14"/>
      <c r="R25" s="14"/>
      <c r="S25" s="15"/>
      <c r="T25" s="18">
        <f>SUM(F25:S25)</f>
        <v>254879</v>
      </c>
      <c r="U25" s="14"/>
      <c r="V25" s="14"/>
      <c r="W25" s="14"/>
      <c r="X25" s="14">
        <v>254879</v>
      </c>
      <c r="Y25" s="14"/>
      <c r="Z25" s="14"/>
      <c r="AA25" s="14"/>
      <c r="AB25" s="14"/>
      <c r="AC25" s="14"/>
      <c r="AD25" s="15"/>
      <c r="AE25" s="18">
        <f>SUM(U25:AD25)</f>
        <v>254879</v>
      </c>
      <c r="AF25" s="19"/>
      <c r="AG25" s="19">
        <f t="shared" si="1"/>
        <v>0</v>
      </c>
    </row>
    <row r="26" spans="1:33" s="20" customFormat="1" ht="12.75">
      <c r="A26" s="30"/>
      <c r="B26" s="14" t="s">
        <v>125</v>
      </c>
      <c r="C26" s="31" t="s">
        <v>126</v>
      </c>
      <c r="D26" s="31" t="s">
        <v>103</v>
      </c>
      <c r="E26" s="22" t="s">
        <v>127</v>
      </c>
      <c r="F26" s="14">
        <v>2503</v>
      </c>
      <c r="G26" s="14">
        <v>1</v>
      </c>
      <c r="H26" s="14">
        <v>15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8">
        <f>SUM(F26:S26)</f>
        <v>2519</v>
      </c>
      <c r="U26" s="14"/>
      <c r="V26" s="14"/>
      <c r="W26" s="14">
        <v>2519</v>
      </c>
      <c r="X26" s="14"/>
      <c r="Y26" s="14"/>
      <c r="Z26" s="14"/>
      <c r="AA26" s="14"/>
      <c r="AB26" s="14"/>
      <c r="AC26" s="14"/>
      <c r="AD26" s="15"/>
      <c r="AE26" s="18">
        <f>SUM(U26:AD26)</f>
        <v>2519</v>
      </c>
      <c r="AF26" s="19"/>
      <c r="AG26" s="19">
        <f t="shared" si="1"/>
        <v>0</v>
      </c>
    </row>
    <row r="27" spans="1:33" s="20" customFormat="1" ht="12.75">
      <c r="A27" s="30"/>
      <c r="B27" s="22" t="s">
        <v>128</v>
      </c>
      <c r="C27" s="31" t="s">
        <v>129</v>
      </c>
      <c r="D27" s="31" t="s">
        <v>130</v>
      </c>
      <c r="E27" s="41" t="s">
        <v>131</v>
      </c>
      <c r="F27" s="14">
        <v>57935</v>
      </c>
      <c r="G27" s="14">
        <v>18335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8">
        <f>SUM(F27:S27)</f>
        <v>76270</v>
      </c>
      <c r="U27" s="14"/>
      <c r="V27" s="14"/>
      <c r="W27" s="14"/>
      <c r="X27" s="14"/>
      <c r="Y27" s="14"/>
      <c r="Z27" s="14"/>
      <c r="AA27" s="14"/>
      <c r="AB27" s="14">
        <v>76270</v>
      </c>
      <c r="AC27" s="14"/>
      <c r="AD27" s="15"/>
      <c r="AE27" s="18">
        <f>SUM(U27:AD27)</f>
        <v>76270</v>
      </c>
      <c r="AF27" s="19"/>
      <c r="AG27" s="19">
        <f t="shared" si="1"/>
        <v>0</v>
      </c>
    </row>
    <row r="28" spans="1:33" s="20" customFormat="1" ht="12.75">
      <c r="A28" s="30"/>
      <c r="B28" s="22" t="s">
        <v>132</v>
      </c>
      <c r="C28" s="31" t="s">
        <v>133</v>
      </c>
      <c r="D28" s="31" t="s">
        <v>130</v>
      </c>
      <c r="E28" s="35" t="s">
        <v>134</v>
      </c>
      <c r="F28" s="14">
        <v>851579</v>
      </c>
      <c r="G28" s="14">
        <v>267324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8">
        <f>SUM(F28:S28)</f>
        <v>1118903</v>
      </c>
      <c r="U28" s="14"/>
      <c r="V28" s="14"/>
      <c r="W28" s="14"/>
      <c r="X28" s="14"/>
      <c r="Y28" s="14"/>
      <c r="Z28" s="14"/>
      <c r="AA28" s="14"/>
      <c r="AB28" s="14">
        <v>1118903</v>
      </c>
      <c r="AC28" s="14"/>
      <c r="AD28" s="15"/>
      <c r="AE28" s="18">
        <f>SUM(U28:AD28)</f>
        <v>1118903</v>
      </c>
      <c r="AF28" s="19"/>
      <c r="AG28" s="19">
        <f t="shared" si="1"/>
        <v>0</v>
      </c>
    </row>
    <row r="29" spans="1:33" s="20" customFormat="1" ht="13.5">
      <c r="A29" s="30"/>
      <c r="B29" s="495" t="s">
        <v>135</v>
      </c>
      <c r="C29" s="496"/>
      <c r="D29" s="496"/>
      <c r="E29" s="497"/>
      <c r="F29" s="24">
        <f>SUM(F21:F28)</f>
        <v>1242025</v>
      </c>
      <c r="G29" s="24">
        <f>SUM(G21:G28)</f>
        <v>374221</v>
      </c>
      <c r="H29" s="24">
        <f aca="true" t="shared" si="10" ref="H29:S29">SUM(H21:H27)</f>
        <v>55690</v>
      </c>
      <c r="I29" s="24">
        <f t="shared" si="10"/>
        <v>0</v>
      </c>
      <c r="J29" s="24">
        <f t="shared" si="10"/>
        <v>0</v>
      </c>
      <c r="K29" s="24">
        <f t="shared" si="10"/>
        <v>271896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14763</v>
      </c>
      <c r="Q29" s="24">
        <f t="shared" si="10"/>
        <v>0</v>
      </c>
      <c r="R29" s="24">
        <f t="shared" si="10"/>
        <v>0</v>
      </c>
      <c r="S29" s="24">
        <f t="shared" si="10"/>
        <v>0</v>
      </c>
      <c r="T29" s="24">
        <f>SUM(T21:T28)</f>
        <v>1958595</v>
      </c>
      <c r="U29" s="24">
        <f aca="true" t="shared" si="11" ref="U29:AA29">SUM(U21:U27)</f>
        <v>197961</v>
      </c>
      <c r="V29" s="24">
        <f t="shared" si="11"/>
        <v>0</v>
      </c>
      <c r="W29" s="24">
        <f t="shared" si="11"/>
        <v>2519</v>
      </c>
      <c r="X29" s="24">
        <f t="shared" si="11"/>
        <v>254879</v>
      </c>
      <c r="Y29" s="24">
        <f t="shared" si="11"/>
        <v>0</v>
      </c>
      <c r="Z29" s="24">
        <f t="shared" si="11"/>
        <v>0</v>
      </c>
      <c r="AA29" s="24">
        <f t="shared" si="11"/>
        <v>0</v>
      </c>
      <c r="AB29" s="24">
        <f>SUM(AB21:AB28)</f>
        <v>1503236</v>
      </c>
      <c r="AC29" s="24">
        <f>SUM(AC21:AC27)</f>
        <v>0</v>
      </c>
      <c r="AD29" s="24">
        <f>SUM(AD21:AD27)</f>
        <v>0</v>
      </c>
      <c r="AE29" s="24">
        <f>SUM(AE21:AE28)</f>
        <v>1958595</v>
      </c>
      <c r="AF29" s="24">
        <f>SUM(AF21:AF25)</f>
        <v>0</v>
      </c>
      <c r="AG29" s="19">
        <f t="shared" si="1"/>
        <v>0</v>
      </c>
    </row>
    <row r="30" spans="1:33" s="20" customFormat="1" ht="12.75">
      <c r="A30" s="30"/>
      <c r="B30" s="22" t="s">
        <v>136</v>
      </c>
      <c r="C30" s="31" t="s">
        <v>137</v>
      </c>
      <c r="D30" s="31" t="s">
        <v>99</v>
      </c>
      <c r="E30" s="40" t="s">
        <v>138</v>
      </c>
      <c r="F30" s="14">
        <v>300000</v>
      </c>
      <c r="G30" s="14">
        <v>96000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8">
        <f aca="true" t="shared" si="12" ref="T30:T54">SUM(F30:S30)</f>
        <v>396000</v>
      </c>
      <c r="U30" s="14"/>
      <c r="V30" s="14"/>
      <c r="W30" s="14"/>
      <c r="X30" s="14"/>
      <c r="Y30" s="14"/>
      <c r="Z30" s="14"/>
      <c r="AA30" s="14"/>
      <c r="AB30" s="14">
        <v>396000</v>
      </c>
      <c r="AC30" s="14"/>
      <c r="AD30" s="15"/>
      <c r="AE30" s="18">
        <f aca="true" t="shared" si="13" ref="AE30:AE54">SUM(U30:AD30)</f>
        <v>396000</v>
      </c>
      <c r="AF30" s="30"/>
      <c r="AG30" s="42">
        <f t="shared" si="1"/>
        <v>0</v>
      </c>
    </row>
    <row r="31" spans="1:33" s="20" customFormat="1" ht="12.75">
      <c r="A31" s="30"/>
      <c r="B31" s="22" t="s">
        <v>139</v>
      </c>
      <c r="C31" s="31" t="s">
        <v>140</v>
      </c>
      <c r="D31" s="31" t="s">
        <v>103</v>
      </c>
      <c r="E31" s="40" t="s">
        <v>141</v>
      </c>
      <c r="F31" s="14">
        <v>1514300</v>
      </c>
      <c r="G31" s="14">
        <v>1000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8">
        <f t="shared" si="12"/>
        <v>1515300</v>
      </c>
      <c r="U31" s="14"/>
      <c r="V31" s="14"/>
      <c r="W31" s="14">
        <v>1515300</v>
      </c>
      <c r="X31" s="14"/>
      <c r="Y31" s="14"/>
      <c r="Z31" s="14"/>
      <c r="AA31" s="14"/>
      <c r="AB31" s="14"/>
      <c r="AC31" s="14"/>
      <c r="AD31" s="15"/>
      <c r="AE31" s="18">
        <f t="shared" si="13"/>
        <v>1515300</v>
      </c>
      <c r="AF31" s="30"/>
      <c r="AG31" s="42">
        <f t="shared" si="1"/>
        <v>0</v>
      </c>
    </row>
    <row r="32" spans="1:33" s="20" customFormat="1" ht="12.75">
      <c r="A32" s="30"/>
      <c r="B32" s="22" t="s">
        <v>142</v>
      </c>
      <c r="C32" s="31" t="s">
        <v>140</v>
      </c>
      <c r="D32" s="31" t="s">
        <v>103</v>
      </c>
      <c r="E32" s="40" t="s">
        <v>143</v>
      </c>
      <c r="F32" s="14">
        <v>591870</v>
      </c>
      <c r="G32" s="14">
        <v>159803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8">
        <f t="shared" si="12"/>
        <v>751673</v>
      </c>
      <c r="U32" s="14"/>
      <c r="V32" s="14"/>
      <c r="W32" s="14">
        <v>751673</v>
      </c>
      <c r="X32" s="14"/>
      <c r="Y32" s="14"/>
      <c r="Z32" s="14"/>
      <c r="AA32" s="14"/>
      <c r="AB32" s="14"/>
      <c r="AC32" s="14"/>
      <c r="AD32" s="15"/>
      <c r="AE32" s="18">
        <f t="shared" si="13"/>
        <v>751673</v>
      </c>
      <c r="AF32" s="30"/>
      <c r="AG32" s="42">
        <f t="shared" si="1"/>
        <v>0</v>
      </c>
    </row>
    <row r="33" spans="1:33" s="20" customFormat="1" ht="12.75">
      <c r="A33" s="30"/>
      <c r="B33" s="22" t="s">
        <v>144</v>
      </c>
      <c r="C33" s="31" t="s">
        <v>145</v>
      </c>
      <c r="D33" s="31" t="s">
        <v>103</v>
      </c>
      <c r="E33" s="32" t="s">
        <v>146</v>
      </c>
      <c r="F33" s="14"/>
      <c r="G33" s="14"/>
      <c r="H33" s="14">
        <v>1809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8">
        <f t="shared" si="12"/>
        <v>1809</v>
      </c>
      <c r="U33" s="14"/>
      <c r="V33" s="14"/>
      <c r="W33" s="14"/>
      <c r="X33" s="14"/>
      <c r="Y33" s="14"/>
      <c r="Z33" s="14"/>
      <c r="AA33" s="14"/>
      <c r="AB33" s="14"/>
      <c r="AC33" s="14">
        <v>1809</v>
      </c>
      <c r="AD33" s="15"/>
      <c r="AE33" s="18">
        <f t="shared" si="13"/>
        <v>1809</v>
      </c>
      <c r="AF33" s="30"/>
      <c r="AG33" s="42">
        <f t="shared" si="1"/>
        <v>0</v>
      </c>
    </row>
    <row r="34" spans="1:33" s="20" customFormat="1" ht="12.75">
      <c r="A34" s="30"/>
      <c r="B34" s="22" t="s">
        <v>147</v>
      </c>
      <c r="C34" s="31" t="s">
        <v>148</v>
      </c>
      <c r="D34" s="31" t="s">
        <v>130</v>
      </c>
      <c r="E34" s="40" t="s">
        <v>149</v>
      </c>
      <c r="F34" s="14">
        <v>26654</v>
      </c>
      <c r="G34" s="14">
        <v>9865</v>
      </c>
      <c r="H34" s="14"/>
      <c r="I34" s="14"/>
      <c r="J34" s="14"/>
      <c r="K34" s="14">
        <v>2237</v>
      </c>
      <c r="L34" s="14"/>
      <c r="M34" s="14"/>
      <c r="N34" s="14"/>
      <c r="O34" s="14"/>
      <c r="P34" s="14"/>
      <c r="Q34" s="14"/>
      <c r="R34" s="14"/>
      <c r="S34" s="15"/>
      <c r="T34" s="18">
        <f t="shared" si="12"/>
        <v>38756</v>
      </c>
      <c r="U34" s="14"/>
      <c r="V34" s="14"/>
      <c r="W34" s="14"/>
      <c r="X34" s="14"/>
      <c r="Y34" s="14"/>
      <c r="Z34" s="14"/>
      <c r="AA34" s="14"/>
      <c r="AB34" s="14">
        <v>38756</v>
      </c>
      <c r="AC34" s="14"/>
      <c r="AD34" s="15"/>
      <c r="AE34" s="18">
        <f t="shared" si="13"/>
        <v>38756</v>
      </c>
      <c r="AF34" s="19"/>
      <c r="AG34" s="19">
        <f t="shared" si="1"/>
        <v>0</v>
      </c>
    </row>
    <row r="35" spans="1:33" s="20" customFormat="1" ht="12.75">
      <c r="A35" s="30"/>
      <c r="B35" s="22" t="s">
        <v>150</v>
      </c>
      <c r="C35" s="31" t="s">
        <v>151</v>
      </c>
      <c r="D35" s="31" t="s">
        <v>99</v>
      </c>
      <c r="E35" s="40" t="s">
        <v>152</v>
      </c>
      <c r="F35" s="14">
        <v>204</v>
      </c>
      <c r="G35" s="14">
        <v>96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8">
        <f t="shared" si="12"/>
        <v>300</v>
      </c>
      <c r="U35" s="14"/>
      <c r="V35" s="14"/>
      <c r="W35" s="14"/>
      <c r="X35" s="14"/>
      <c r="Y35" s="14"/>
      <c r="Z35" s="14"/>
      <c r="AA35" s="14"/>
      <c r="AB35" s="14">
        <v>300</v>
      </c>
      <c r="AC35" s="14"/>
      <c r="AD35" s="15"/>
      <c r="AE35" s="18">
        <f t="shared" si="13"/>
        <v>300</v>
      </c>
      <c r="AF35" s="19"/>
      <c r="AG35" s="19">
        <f aca="true" t="shared" si="14" ref="AG35:AG66">AE35-T35</f>
        <v>0</v>
      </c>
    </row>
    <row r="36" spans="1:33" s="20" customFormat="1" ht="12.75">
      <c r="A36" s="30"/>
      <c r="B36" s="22" t="s">
        <v>153</v>
      </c>
      <c r="C36" s="31" t="s">
        <v>154</v>
      </c>
      <c r="D36" s="31" t="s">
        <v>99</v>
      </c>
      <c r="E36" s="34" t="s">
        <v>155</v>
      </c>
      <c r="F36" s="14">
        <v>51272</v>
      </c>
      <c r="G36" s="14">
        <v>1000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8">
        <f t="shared" si="12"/>
        <v>52272</v>
      </c>
      <c r="U36" s="14"/>
      <c r="V36" s="14"/>
      <c r="W36" s="14"/>
      <c r="X36" s="14"/>
      <c r="Y36" s="14"/>
      <c r="Z36" s="14"/>
      <c r="AA36" s="14"/>
      <c r="AB36" s="14">
        <v>52272</v>
      </c>
      <c r="AC36" s="14"/>
      <c r="AD36" s="15"/>
      <c r="AE36" s="18">
        <f t="shared" si="13"/>
        <v>52272</v>
      </c>
      <c r="AF36" s="19"/>
      <c r="AG36" s="19">
        <f t="shared" si="14"/>
        <v>0</v>
      </c>
    </row>
    <row r="37" spans="1:33" s="20" customFormat="1" ht="12.75">
      <c r="A37" s="30"/>
      <c r="B37" s="22" t="s">
        <v>156</v>
      </c>
      <c r="C37" s="31" t="s">
        <v>157</v>
      </c>
      <c r="D37" s="31" t="s">
        <v>99</v>
      </c>
      <c r="E37" s="22" t="s">
        <v>158</v>
      </c>
      <c r="F37" s="14">
        <v>23800</v>
      </c>
      <c r="G37" s="14">
        <v>6200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8">
        <f t="shared" si="12"/>
        <v>30000</v>
      </c>
      <c r="U37" s="14"/>
      <c r="V37" s="14"/>
      <c r="W37" s="14"/>
      <c r="X37" s="14"/>
      <c r="Y37" s="14"/>
      <c r="Z37" s="14"/>
      <c r="AA37" s="14"/>
      <c r="AB37" s="14">
        <v>30000</v>
      </c>
      <c r="AC37" s="14"/>
      <c r="AD37" s="15"/>
      <c r="AE37" s="18">
        <f t="shared" si="13"/>
        <v>30000</v>
      </c>
      <c r="AF37" s="19"/>
      <c r="AG37" s="19">
        <f t="shared" si="14"/>
        <v>0</v>
      </c>
    </row>
    <row r="38" spans="1:33" s="20" customFormat="1" ht="12.75">
      <c r="A38" s="30"/>
      <c r="B38" s="22" t="s">
        <v>159</v>
      </c>
      <c r="C38" s="31" t="s">
        <v>160</v>
      </c>
      <c r="D38" s="31" t="s">
        <v>130</v>
      </c>
      <c r="E38" s="35" t="s">
        <v>161</v>
      </c>
      <c r="F38" s="14">
        <v>73095</v>
      </c>
      <c r="G38" s="14">
        <v>23390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8">
        <f t="shared" si="12"/>
        <v>96485</v>
      </c>
      <c r="U38" s="14"/>
      <c r="V38" s="14"/>
      <c r="W38" s="14"/>
      <c r="X38" s="14"/>
      <c r="Y38" s="14"/>
      <c r="Z38" s="14"/>
      <c r="AA38" s="14"/>
      <c r="AB38" s="14">
        <v>96485</v>
      </c>
      <c r="AC38" s="14"/>
      <c r="AD38" s="15"/>
      <c r="AE38" s="18">
        <f t="shared" si="13"/>
        <v>96485</v>
      </c>
      <c r="AF38" s="19"/>
      <c r="AG38" s="19">
        <f t="shared" si="14"/>
        <v>0</v>
      </c>
    </row>
    <row r="39" spans="1:33" s="20" customFormat="1" ht="12.75">
      <c r="A39" s="30"/>
      <c r="B39" s="22" t="s">
        <v>162</v>
      </c>
      <c r="C39" s="31" t="s">
        <v>160</v>
      </c>
      <c r="D39" s="31" t="s">
        <v>103</v>
      </c>
      <c r="E39" s="40" t="s">
        <v>141</v>
      </c>
      <c r="F39" s="14">
        <v>-1514300</v>
      </c>
      <c r="G39" s="14">
        <v>-1000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8">
        <f t="shared" si="12"/>
        <v>-1515300</v>
      </c>
      <c r="U39" s="14"/>
      <c r="V39" s="14"/>
      <c r="W39" s="14">
        <v>-1515300</v>
      </c>
      <c r="X39" s="14"/>
      <c r="Y39" s="14"/>
      <c r="Z39" s="14"/>
      <c r="AA39" s="14"/>
      <c r="AB39" s="14"/>
      <c r="AC39" s="14"/>
      <c r="AD39" s="15"/>
      <c r="AE39" s="18">
        <f t="shared" si="13"/>
        <v>-1515300</v>
      </c>
      <c r="AF39" s="19"/>
      <c r="AG39" s="19">
        <f t="shared" si="14"/>
        <v>0</v>
      </c>
    </row>
    <row r="40" spans="1:33" s="20" customFormat="1" ht="12.75">
      <c r="A40" s="30"/>
      <c r="B40" s="22" t="s">
        <v>163</v>
      </c>
      <c r="C40" s="31" t="s">
        <v>160</v>
      </c>
      <c r="D40" s="31" t="s">
        <v>103</v>
      </c>
      <c r="E40" s="40" t="s">
        <v>143</v>
      </c>
      <c r="F40" s="14">
        <v>-591870</v>
      </c>
      <c r="G40" s="14">
        <v>-159803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8">
        <f t="shared" si="12"/>
        <v>-751673</v>
      </c>
      <c r="U40" s="14"/>
      <c r="V40" s="14"/>
      <c r="W40" s="14">
        <v>-751673</v>
      </c>
      <c r="X40" s="14"/>
      <c r="Y40" s="14"/>
      <c r="Z40" s="14"/>
      <c r="AA40" s="14"/>
      <c r="AB40" s="14"/>
      <c r="AC40" s="14"/>
      <c r="AD40" s="15"/>
      <c r="AE40" s="18">
        <f t="shared" si="13"/>
        <v>-751673</v>
      </c>
      <c r="AF40" s="19"/>
      <c r="AG40" s="19">
        <f t="shared" si="14"/>
        <v>0</v>
      </c>
    </row>
    <row r="41" spans="1:33" s="20" customFormat="1" ht="12.75">
      <c r="A41" s="30"/>
      <c r="B41" s="22" t="s">
        <v>164</v>
      </c>
      <c r="C41" s="31" t="s">
        <v>160</v>
      </c>
      <c r="D41" s="31" t="s">
        <v>103</v>
      </c>
      <c r="E41" s="40" t="s">
        <v>165</v>
      </c>
      <c r="F41" s="14">
        <v>884732</v>
      </c>
      <c r="G41" s="14">
        <v>535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8">
        <f t="shared" si="12"/>
        <v>885267</v>
      </c>
      <c r="U41" s="14"/>
      <c r="V41" s="14"/>
      <c r="W41" s="14">
        <v>885267</v>
      </c>
      <c r="X41" s="14"/>
      <c r="Y41" s="14"/>
      <c r="Z41" s="14"/>
      <c r="AA41" s="14"/>
      <c r="AB41" s="14"/>
      <c r="AC41" s="14"/>
      <c r="AD41" s="15"/>
      <c r="AE41" s="18">
        <f t="shared" si="13"/>
        <v>885267</v>
      </c>
      <c r="AF41" s="19"/>
      <c r="AG41" s="19">
        <f t="shared" si="14"/>
        <v>0</v>
      </c>
    </row>
    <row r="42" spans="1:33" s="20" customFormat="1" ht="12.75">
      <c r="A42" s="30"/>
      <c r="B42" s="22" t="s">
        <v>166</v>
      </c>
      <c r="C42" s="23" t="s">
        <v>160</v>
      </c>
      <c r="D42" s="23" t="s">
        <v>103</v>
      </c>
      <c r="E42" s="22" t="s">
        <v>167</v>
      </c>
      <c r="F42" s="14">
        <v>946</v>
      </c>
      <c r="G42" s="14">
        <v>271</v>
      </c>
      <c r="H42" s="14">
        <v>795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8">
        <f t="shared" si="12"/>
        <v>2012</v>
      </c>
      <c r="U42" s="14"/>
      <c r="V42" s="14"/>
      <c r="W42" s="14">
        <v>2012</v>
      </c>
      <c r="X42" s="14"/>
      <c r="Y42" s="14"/>
      <c r="Z42" s="14"/>
      <c r="AA42" s="14"/>
      <c r="AB42" s="14"/>
      <c r="AC42" s="14"/>
      <c r="AD42" s="15"/>
      <c r="AE42" s="18">
        <f t="shared" si="13"/>
        <v>2012</v>
      </c>
      <c r="AF42" s="19"/>
      <c r="AG42" s="19">
        <f t="shared" si="14"/>
        <v>0</v>
      </c>
    </row>
    <row r="43" spans="1:33" s="20" customFormat="1" ht="12.75">
      <c r="A43" s="30"/>
      <c r="B43" s="22" t="s">
        <v>166</v>
      </c>
      <c r="C43" s="23" t="s">
        <v>160</v>
      </c>
      <c r="D43" s="23" t="s">
        <v>103</v>
      </c>
      <c r="E43" s="22" t="s">
        <v>168</v>
      </c>
      <c r="F43" s="14">
        <v>100000</v>
      </c>
      <c r="G43" s="14">
        <v>19676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8">
        <f t="shared" si="12"/>
        <v>119676</v>
      </c>
      <c r="U43" s="14"/>
      <c r="V43" s="14"/>
      <c r="W43" s="14">
        <v>119676</v>
      </c>
      <c r="X43" s="14"/>
      <c r="Y43" s="14"/>
      <c r="Z43" s="14"/>
      <c r="AA43" s="14"/>
      <c r="AB43" s="14"/>
      <c r="AC43" s="14"/>
      <c r="AD43" s="15"/>
      <c r="AE43" s="18">
        <f t="shared" si="13"/>
        <v>119676</v>
      </c>
      <c r="AF43" s="19"/>
      <c r="AG43" s="19">
        <f t="shared" si="14"/>
        <v>0</v>
      </c>
    </row>
    <row r="44" spans="1:33" s="20" customFormat="1" ht="12.75">
      <c r="A44" s="30"/>
      <c r="B44" s="22" t="s">
        <v>166</v>
      </c>
      <c r="C44" s="23" t="s">
        <v>160</v>
      </c>
      <c r="D44" s="23" t="s">
        <v>103</v>
      </c>
      <c r="E44" s="22" t="s">
        <v>169</v>
      </c>
      <c r="F44" s="14">
        <v>15288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8">
        <f t="shared" si="12"/>
        <v>15288</v>
      </c>
      <c r="U44" s="14"/>
      <c r="V44" s="14"/>
      <c r="W44" s="14">
        <v>15288</v>
      </c>
      <c r="X44" s="14"/>
      <c r="Y44" s="14"/>
      <c r="Z44" s="14"/>
      <c r="AA44" s="14"/>
      <c r="AB44" s="14"/>
      <c r="AC44" s="14"/>
      <c r="AD44" s="15"/>
      <c r="AE44" s="18">
        <f t="shared" si="13"/>
        <v>15288</v>
      </c>
      <c r="AF44" s="19"/>
      <c r="AG44" s="19">
        <f t="shared" si="14"/>
        <v>0</v>
      </c>
    </row>
    <row r="45" spans="1:33" s="20" customFormat="1" ht="12.75">
      <c r="A45" s="30"/>
      <c r="B45" s="22" t="s">
        <v>166</v>
      </c>
      <c r="C45" s="23" t="s">
        <v>160</v>
      </c>
      <c r="D45" s="23" t="s">
        <v>103</v>
      </c>
      <c r="E45" s="22" t="s">
        <v>170</v>
      </c>
      <c r="F45" s="14">
        <v>3491</v>
      </c>
      <c r="G45" s="14">
        <v>684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8">
        <f t="shared" si="12"/>
        <v>4175</v>
      </c>
      <c r="U45" s="14"/>
      <c r="V45" s="14"/>
      <c r="W45" s="14">
        <v>4175</v>
      </c>
      <c r="X45" s="14"/>
      <c r="Y45" s="14"/>
      <c r="Z45" s="14"/>
      <c r="AA45" s="14"/>
      <c r="AB45" s="14"/>
      <c r="AC45" s="14"/>
      <c r="AD45" s="15"/>
      <c r="AE45" s="18">
        <f t="shared" si="13"/>
        <v>4175</v>
      </c>
      <c r="AF45" s="19"/>
      <c r="AG45" s="19">
        <f t="shared" si="14"/>
        <v>0</v>
      </c>
    </row>
    <row r="46" spans="1:33" s="20" customFormat="1" ht="12.75">
      <c r="A46" s="30"/>
      <c r="B46" s="22" t="s">
        <v>166</v>
      </c>
      <c r="C46" s="23" t="s">
        <v>160</v>
      </c>
      <c r="D46" s="23" t="s">
        <v>103</v>
      </c>
      <c r="E46" s="22" t="s">
        <v>171</v>
      </c>
      <c r="F46" s="14">
        <v>619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8">
        <f t="shared" si="12"/>
        <v>619</v>
      </c>
      <c r="U46" s="14"/>
      <c r="V46" s="14"/>
      <c r="W46" s="14">
        <v>619</v>
      </c>
      <c r="X46" s="14"/>
      <c r="Y46" s="14"/>
      <c r="Z46" s="14"/>
      <c r="AA46" s="14"/>
      <c r="AB46" s="14"/>
      <c r="AC46" s="14"/>
      <c r="AD46" s="15"/>
      <c r="AE46" s="18">
        <f t="shared" si="13"/>
        <v>619</v>
      </c>
      <c r="AF46" s="19"/>
      <c r="AG46" s="19">
        <f t="shared" si="14"/>
        <v>0</v>
      </c>
    </row>
    <row r="47" spans="1:33" s="20" customFormat="1" ht="12.75">
      <c r="A47" s="30"/>
      <c r="B47" s="22" t="s">
        <v>166</v>
      </c>
      <c r="C47" s="23" t="s">
        <v>160</v>
      </c>
      <c r="D47" s="23" t="s">
        <v>103</v>
      </c>
      <c r="E47" s="22" t="s">
        <v>172</v>
      </c>
      <c r="F47" s="14">
        <v>6605</v>
      </c>
      <c r="G47" s="14">
        <v>2114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8">
        <f t="shared" si="12"/>
        <v>8719</v>
      </c>
      <c r="U47" s="14"/>
      <c r="V47" s="14"/>
      <c r="W47" s="14">
        <v>8719</v>
      </c>
      <c r="X47" s="14"/>
      <c r="Y47" s="14"/>
      <c r="Z47" s="14"/>
      <c r="AA47" s="14"/>
      <c r="AB47" s="14"/>
      <c r="AC47" s="14"/>
      <c r="AD47" s="15"/>
      <c r="AE47" s="18">
        <f t="shared" si="13"/>
        <v>8719</v>
      </c>
      <c r="AF47" s="19"/>
      <c r="AG47" s="19">
        <f t="shared" si="14"/>
        <v>0</v>
      </c>
    </row>
    <row r="48" spans="1:33" s="20" customFormat="1" ht="12.75">
      <c r="A48" s="30"/>
      <c r="B48" s="22" t="s">
        <v>166</v>
      </c>
      <c r="C48" s="23" t="s">
        <v>160</v>
      </c>
      <c r="D48" s="23" t="s">
        <v>103</v>
      </c>
      <c r="E48" s="22" t="s">
        <v>173</v>
      </c>
      <c r="F48" s="14">
        <v>830</v>
      </c>
      <c r="G48" s="14">
        <v>255</v>
      </c>
      <c r="H48" s="14">
        <v>5635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8">
        <f t="shared" si="12"/>
        <v>6720</v>
      </c>
      <c r="U48" s="14"/>
      <c r="V48" s="14">
        <v>6720</v>
      </c>
      <c r="W48" s="14"/>
      <c r="X48" s="14"/>
      <c r="Y48" s="14"/>
      <c r="Z48" s="14"/>
      <c r="AA48" s="14"/>
      <c r="AB48" s="14"/>
      <c r="AC48" s="14"/>
      <c r="AD48" s="15"/>
      <c r="AE48" s="18">
        <f t="shared" si="13"/>
        <v>6720</v>
      </c>
      <c r="AF48" s="19"/>
      <c r="AG48" s="19">
        <f t="shared" si="14"/>
        <v>0</v>
      </c>
    </row>
    <row r="49" spans="1:33" s="20" customFormat="1" ht="12.75">
      <c r="A49" s="30"/>
      <c r="B49" s="22" t="s">
        <v>166</v>
      </c>
      <c r="C49" s="23" t="s">
        <v>160</v>
      </c>
      <c r="D49" s="23" t="s">
        <v>103</v>
      </c>
      <c r="E49" s="43" t="s">
        <v>174</v>
      </c>
      <c r="F49" s="14">
        <v>6630</v>
      </c>
      <c r="G49" s="14">
        <v>2120</v>
      </c>
      <c r="H49" s="14">
        <v>7330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8">
        <f t="shared" si="12"/>
        <v>16080</v>
      </c>
      <c r="U49" s="14"/>
      <c r="V49" s="14">
        <v>16080</v>
      </c>
      <c r="W49" s="14"/>
      <c r="X49" s="14"/>
      <c r="Y49" s="14"/>
      <c r="Z49" s="14"/>
      <c r="AA49" s="14"/>
      <c r="AB49" s="14"/>
      <c r="AC49" s="14"/>
      <c r="AD49" s="15"/>
      <c r="AE49" s="18">
        <f t="shared" si="13"/>
        <v>16080</v>
      </c>
      <c r="AF49" s="19"/>
      <c r="AG49" s="19">
        <f t="shared" si="14"/>
        <v>0</v>
      </c>
    </row>
    <row r="50" spans="1:33" s="20" customFormat="1" ht="12.75">
      <c r="A50" s="30"/>
      <c r="B50" s="22" t="s">
        <v>166</v>
      </c>
      <c r="C50" s="23" t="s">
        <v>160</v>
      </c>
      <c r="D50" s="23" t="s">
        <v>103</v>
      </c>
      <c r="E50" s="22" t="s">
        <v>175</v>
      </c>
      <c r="F50" s="14">
        <v>24640</v>
      </c>
      <c r="G50" s="14">
        <v>7882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8">
        <f t="shared" si="12"/>
        <v>32522</v>
      </c>
      <c r="U50" s="14"/>
      <c r="V50" s="14"/>
      <c r="W50" s="14">
        <v>32522</v>
      </c>
      <c r="X50" s="14"/>
      <c r="Y50" s="14"/>
      <c r="Z50" s="14"/>
      <c r="AA50" s="14"/>
      <c r="AB50" s="14"/>
      <c r="AC50" s="14"/>
      <c r="AD50" s="15"/>
      <c r="AE50" s="18">
        <f t="shared" si="13"/>
        <v>32522</v>
      </c>
      <c r="AF50" s="19"/>
      <c r="AG50" s="19">
        <f t="shared" si="14"/>
        <v>0</v>
      </c>
    </row>
    <row r="51" spans="1:33" s="20" customFormat="1" ht="12.75">
      <c r="A51" s="30"/>
      <c r="B51" s="22" t="s">
        <v>166</v>
      </c>
      <c r="C51" s="23" t="s">
        <v>160</v>
      </c>
      <c r="D51" s="23" t="s">
        <v>103</v>
      </c>
      <c r="E51" s="22" t="s">
        <v>176</v>
      </c>
      <c r="F51" s="14">
        <v>69387</v>
      </c>
      <c r="G51" s="14">
        <v>22203</v>
      </c>
      <c r="H51" s="14">
        <v>86370</v>
      </c>
      <c r="I51" s="14"/>
      <c r="J51" s="14"/>
      <c r="K51" s="14"/>
      <c r="L51" s="14"/>
      <c r="M51" s="14"/>
      <c r="N51" s="14"/>
      <c r="O51" s="14"/>
      <c r="P51" s="14">
        <v>14700</v>
      </c>
      <c r="Q51" s="14"/>
      <c r="R51" s="14"/>
      <c r="S51" s="15"/>
      <c r="T51" s="18">
        <f t="shared" si="12"/>
        <v>192660</v>
      </c>
      <c r="U51" s="14"/>
      <c r="V51" s="14"/>
      <c r="W51" s="14">
        <v>192660</v>
      </c>
      <c r="X51" s="14"/>
      <c r="Y51" s="14"/>
      <c r="Z51" s="14"/>
      <c r="AA51" s="14"/>
      <c r="AB51" s="14"/>
      <c r="AC51" s="14"/>
      <c r="AD51" s="15"/>
      <c r="AE51" s="18">
        <f t="shared" si="13"/>
        <v>192660</v>
      </c>
      <c r="AF51" s="19"/>
      <c r="AG51" s="19">
        <f t="shared" si="14"/>
        <v>0</v>
      </c>
    </row>
    <row r="52" spans="1:33" s="20" customFormat="1" ht="12.75">
      <c r="A52" s="30"/>
      <c r="B52" s="22" t="s">
        <v>177</v>
      </c>
      <c r="C52" s="31" t="s">
        <v>160</v>
      </c>
      <c r="D52" s="31" t="s">
        <v>103</v>
      </c>
      <c r="E52" s="22" t="s">
        <v>178</v>
      </c>
      <c r="F52" s="14">
        <v>50924</v>
      </c>
      <c r="G52" s="14">
        <v>14966</v>
      </c>
      <c r="H52" s="14">
        <v>21423</v>
      </c>
      <c r="I52" s="14"/>
      <c r="J52" s="14"/>
      <c r="K52" s="14"/>
      <c r="L52" s="14"/>
      <c r="M52" s="14"/>
      <c r="N52" s="14"/>
      <c r="O52" s="14"/>
      <c r="P52" s="14">
        <v>3691</v>
      </c>
      <c r="Q52" s="14"/>
      <c r="R52" s="14"/>
      <c r="S52" s="15"/>
      <c r="T52" s="18">
        <f t="shared" si="12"/>
        <v>91004</v>
      </c>
      <c r="U52" s="14"/>
      <c r="V52" s="14"/>
      <c r="W52" s="14"/>
      <c r="X52" s="14">
        <v>87313</v>
      </c>
      <c r="Y52" s="14">
        <v>3691</v>
      </c>
      <c r="Z52" s="14"/>
      <c r="AA52" s="14"/>
      <c r="AB52" s="14"/>
      <c r="AC52" s="14"/>
      <c r="AD52" s="15"/>
      <c r="AE52" s="18">
        <f t="shared" si="13"/>
        <v>91004</v>
      </c>
      <c r="AF52" s="19"/>
      <c r="AG52" s="19">
        <f t="shared" si="14"/>
        <v>0</v>
      </c>
    </row>
    <row r="53" spans="1:33" s="20" customFormat="1" ht="12.75">
      <c r="A53" s="30"/>
      <c r="B53" s="22" t="s">
        <v>179</v>
      </c>
      <c r="C53" s="31" t="s">
        <v>160</v>
      </c>
      <c r="D53" s="31" t="s">
        <v>103</v>
      </c>
      <c r="E53" s="35" t="s">
        <v>180</v>
      </c>
      <c r="F53" s="14">
        <v>284289</v>
      </c>
      <c r="G53" s="14">
        <v>393488</v>
      </c>
      <c r="H53" s="14">
        <v>347523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8">
        <f t="shared" si="12"/>
        <v>1025300</v>
      </c>
      <c r="U53" s="14"/>
      <c r="V53" s="14"/>
      <c r="W53" s="14">
        <v>1025300</v>
      </c>
      <c r="X53" s="14"/>
      <c r="Y53" s="14"/>
      <c r="Z53" s="14"/>
      <c r="AA53" s="14"/>
      <c r="AB53" s="14"/>
      <c r="AC53" s="14"/>
      <c r="AD53" s="15"/>
      <c r="AE53" s="18">
        <f t="shared" si="13"/>
        <v>1025300</v>
      </c>
      <c r="AF53" s="19"/>
      <c r="AG53" s="19">
        <f t="shared" si="14"/>
        <v>0</v>
      </c>
    </row>
    <row r="54" spans="1:33" s="20" customFormat="1" ht="12.75">
      <c r="A54" s="30"/>
      <c r="B54" s="22" t="s">
        <v>181</v>
      </c>
      <c r="C54" s="31" t="s">
        <v>182</v>
      </c>
      <c r="D54" s="31" t="s">
        <v>103</v>
      </c>
      <c r="E54" s="22" t="s">
        <v>183</v>
      </c>
      <c r="F54" s="14">
        <v>50545</v>
      </c>
      <c r="G54" s="14">
        <v>16174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8">
        <f t="shared" si="12"/>
        <v>66719</v>
      </c>
      <c r="U54" s="14"/>
      <c r="V54" s="14"/>
      <c r="W54" s="14">
        <v>66719</v>
      </c>
      <c r="X54" s="14"/>
      <c r="Y54" s="14"/>
      <c r="Z54" s="14"/>
      <c r="AA54" s="14"/>
      <c r="AB54" s="14"/>
      <c r="AC54" s="14"/>
      <c r="AD54" s="15"/>
      <c r="AE54" s="18">
        <f t="shared" si="13"/>
        <v>66719</v>
      </c>
      <c r="AF54" s="19"/>
      <c r="AG54" s="19">
        <f t="shared" si="14"/>
        <v>0</v>
      </c>
    </row>
    <row r="55" spans="1:33" s="20" customFormat="1" ht="13.5">
      <c r="A55" s="30"/>
      <c r="B55" s="495" t="s">
        <v>184</v>
      </c>
      <c r="C55" s="496"/>
      <c r="D55" s="496"/>
      <c r="E55" s="497"/>
      <c r="F55" s="24">
        <f aca="true" t="shared" si="15" ref="F55:AE55">SUM(F30:F54)</f>
        <v>1973951</v>
      </c>
      <c r="G55" s="24">
        <f t="shared" si="15"/>
        <v>616919</v>
      </c>
      <c r="H55" s="24">
        <f t="shared" si="15"/>
        <v>470885</v>
      </c>
      <c r="I55" s="24">
        <f t="shared" si="15"/>
        <v>0</v>
      </c>
      <c r="J55" s="24">
        <f t="shared" si="15"/>
        <v>0</v>
      </c>
      <c r="K55" s="24">
        <f t="shared" si="15"/>
        <v>2237</v>
      </c>
      <c r="L55" s="24">
        <f t="shared" si="15"/>
        <v>0</v>
      </c>
      <c r="M55" s="24">
        <f t="shared" si="15"/>
        <v>0</v>
      </c>
      <c r="N55" s="24">
        <f t="shared" si="15"/>
        <v>0</v>
      </c>
      <c r="O55" s="24">
        <f t="shared" si="15"/>
        <v>0</v>
      </c>
      <c r="P55" s="24">
        <f t="shared" si="15"/>
        <v>18391</v>
      </c>
      <c r="Q55" s="24">
        <f t="shared" si="15"/>
        <v>0</v>
      </c>
      <c r="R55" s="24">
        <f t="shared" si="15"/>
        <v>0</v>
      </c>
      <c r="S55" s="24">
        <f t="shared" si="15"/>
        <v>0</v>
      </c>
      <c r="T55" s="24">
        <f t="shared" si="15"/>
        <v>3082383</v>
      </c>
      <c r="U55" s="24">
        <f t="shared" si="15"/>
        <v>0</v>
      </c>
      <c r="V55" s="24">
        <f t="shared" si="15"/>
        <v>22800</v>
      </c>
      <c r="W55" s="24">
        <f t="shared" si="15"/>
        <v>2352957</v>
      </c>
      <c r="X55" s="24">
        <f t="shared" si="15"/>
        <v>87313</v>
      </c>
      <c r="Y55" s="24">
        <f t="shared" si="15"/>
        <v>3691</v>
      </c>
      <c r="Z55" s="24">
        <f t="shared" si="15"/>
        <v>0</v>
      </c>
      <c r="AA55" s="24">
        <f t="shared" si="15"/>
        <v>0</v>
      </c>
      <c r="AB55" s="24">
        <f t="shared" si="15"/>
        <v>613813</v>
      </c>
      <c r="AC55" s="24">
        <f t="shared" si="15"/>
        <v>1809</v>
      </c>
      <c r="AD55" s="24">
        <f t="shared" si="15"/>
        <v>0</v>
      </c>
      <c r="AE55" s="24">
        <f t="shared" si="15"/>
        <v>3082383</v>
      </c>
      <c r="AF55" s="24">
        <f>SUM(AF30:AF34)</f>
        <v>0</v>
      </c>
      <c r="AG55" s="19">
        <f t="shared" si="14"/>
        <v>0</v>
      </c>
    </row>
    <row r="56" spans="1:33" s="20" customFormat="1" ht="12.75">
      <c r="A56" s="44"/>
      <c r="B56" s="22" t="s">
        <v>185</v>
      </c>
      <c r="C56" s="31" t="s">
        <v>186</v>
      </c>
      <c r="D56" s="31" t="s">
        <v>99</v>
      </c>
      <c r="E56" s="34" t="s">
        <v>187</v>
      </c>
      <c r="F56" s="14">
        <v>58936</v>
      </c>
      <c r="G56" s="14">
        <v>1000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8">
        <f>SUM(F56:S56)</f>
        <v>59936</v>
      </c>
      <c r="U56" s="14"/>
      <c r="V56" s="14"/>
      <c r="W56" s="14"/>
      <c r="X56" s="14"/>
      <c r="Y56" s="14"/>
      <c r="Z56" s="14"/>
      <c r="AA56" s="14"/>
      <c r="AB56" s="14">
        <v>59936</v>
      </c>
      <c r="AC56" s="14"/>
      <c r="AD56" s="15"/>
      <c r="AE56" s="18">
        <f aca="true" t="shared" si="16" ref="AE56:AE69">SUM(U56:AD56)</f>
        <v>59936</v>
      </c>
      <c r="AF56" s="19">
        <f>T56-AE56</f>
        <v>0</v>
      </c>
      <c r="AG56" s="19">
        <f t="shared" si="14"/>
        <v>0</v>
      </c>
    </row>
    <row r="57" spans="1:33" s="20" customFormat="1" ht="12.75">
      <c r="A57" s="30"/>
      <c r="B57" s="22" t="s">
        <v>188</v>
      </c>
      <c r="C57" s="31" t="s">
        <v>189</v>
      </c>
      <c r="D57" s="31" t="s">
        <v>103</v>
      </c>
      <c r="E57" s="22" t="s">
        <v>190</v>
      </c>
      <c r="F57" s="14"/>
      <c r="G57" s="14"/>
      <c r="H57" s="14">
        <v>-1809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18">
        <f>SUM(F57:S57)</f>
        <v>-1809</v>
      </c>
      <c r="U57" s="14"/>
      <c r="V57" s="14"/>
      <c r="W57" s="14"/>
      <c r="X57" s="14"/>
      <c r="Y57" s="14"/>
      <c r="Z57" s="14"/>
      <c r="AA57" s="14"/>
      <c r="AB57" s="14"/>
      <c r="AC57" s="14">
        <v>-1809</v>
      </c>
      <c r="AD57" s="15"/>
      <c r="AE57" s="18">
        <f t="shared" si="16"/>
        <v>-1809</v>
      </c>
      <c r="AF57" s="19"/>
      <c r="AG57" s="19">
        <f t="shared" si="14"/>
        <v>0</v>
      </c>
    </row>
    <row r="58" spans="1:33" s="20" customFormat="1" ht="12.75">
      <c r="A58" s="30"/>
      <c r="B58" s="22" t="s">
        <v>191</v>
      </c>
      <c r="C58" s="31" t="s">
        <v>189</v>
      </c>
      <c r="D58" s="31" t="s">
        <v>103</v>
      </c>
      <c r="E58" s="22" t="s">
        <v>190</v>
      </c>
      <c r="F58" s="14"/>
      <c r="G58" s="14"/>
      <c r="H58" s="14">
        <v>1803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8">
        <f>SUM(F58:S58)</f>
        <v>1803</v>
      </c>
      <c r="U58" s="14"/>
      <c r="V58" s="14"/>
      <c r="W58" s="14"/>
      <c r="X58" s="14"/>
      <c r="Y58" s="14"/>
      <c r="Z58" s="14"/>
      <c r="AA58" s="14"/>
      <c r="AB58" s="14"/>
      <c r="AC58" s="14">
        <v>1803</v>
      </c>
      <c r="AD58" s="15"/>
      <c r="AE58" s="18">
        <f t="shared" si="16"/>
        <v>1803</v>
      </c>
      <c r="AF58" s="19"/>
      <c r="AG58" s="19">
        <f t="shared" si="14"/>
        <v>0</v>
      </c>
    </row>
    <row r="59" spans="1:33" s="20" customFormat="1" ht="13.5">
      <c r="A59" s="30"/>
      <c r="B59" s="495" t="s">
        <v>192</v>
      </c>
      <c r="C59" s="496"/>
      <c r="D59" s="496"/>
      <c r="E59" s="497"/>
      <c r="F59" s="24">
        <f aca="true" t="shared" si="17" ref="F59:AD59">SUM(F56:F58)</f>
        <v>58936</v>
      </c>
      <c r="G59" s="24">
        <f t="shared" si="17"/>
        <v>1000</v>
      </c>
      <c r="H59" s="24">
        <f t="shared" si="17"/>
        <v>-6</v>
      </c>
      <c r="I59" s="24">
        <f t="shared" si="17"/>
        <v>0</v>
      </c>
      <c r="J59" s="24">
        <f t="shared" si="17"/>
        <v>0</v>
      </c>
      <c r="K59" s="24">
        <f t="shared" si="17"/>
        <v>0</v>
      </c>
      <c r="L59" s="24">
        <f t="shared" si="17"/>
        <v>0</v>
      </c>
      <c r="M59" s="24">
        <f t="shared" si="17"/>
        <v>0</v>
      </c>
      <c r="N59" s="24">
        <f t="shared" si="17"/>
        <v>0</v>
      </c>
      <c r="O59" s="24">
        <f t="shared" si="17"/>
        <v>0</v>
      </c>
      <c r="P59" s="24">
        <f t="shared" si="17"/>
        <v>0</v>
      </c>
      <c r="Q59" s="24">
        <f t="shared" si="17"/>
        <v>0</v>
      </c>
      <c r="R59" s="24">
        <f t="shared" si="17"/>
        <v>0</v>
      </c>
      <c r="S59" s="24">
        <f t="shared" si="17"/>
        <v>0</v>
      </c>
      <c r="T59" s="24">
        <f t="shared" si="17"/>
        <v>59930</v>
      </c>
      <c r="U59" s="24">
        <f t="shared" si="17"/>
        <v>0</v>
      </c>
      <c r="V59" s="24">
        <f t="shared" si="17"/>
        <v>0</v>
      </c>
      <c r="W59" s="24">
        <f t="shared" si="17"/>
        <v>0</v>
      </c>
      <c r="X59" s="24">
        <f t="shared" si="17"/>
        <v>0</v>
      </c>
      <c r="Y59" s="24">
        <f t="shared" si="17"/>
        <v>0</v>
      </c>
      <c r="Z59" s="24">
        <f t="shared" si="17"/>
        <v>0</v>
      </c>
      <c r="AA59" s="24">
        <f t="shared" si="17"/>
        <v>0</v>
      </c>
      <c r="AB59" s="24">
        <f t="shared" si="17"/>
        <v>59936</v>
      </c>
      <c r="AC59" s="24">
        <f t="shared" si="17"/>
        <v>-6</v>
      </c>
      <c r="AD59" s="24">
        <f t="shared" si="17"/>
        <v>0</v>
      </c>
      <c r="AE59" s="25">
        <f t="shared" si="16"/>
        <v>59930</v>
      </c>
      <c r="AF59" s="24">
        <f>SUM(AF56)</f>
        <v>0</v>
      </c>
      <c r="AG59" s="19">
        <f t="shared" si="14"/>
        <v>0</v>
      </c>
    </row>
    <row r="60" spans="1:33" s="20" customFormat="1" ht="13.5">
      <c r="A60" s="30"/>
      <c r="B60" s="22" t="s">
        <v>193</v>
      </c>
      <c r="C60" s="31" t="s">
        <v>194</v>
      </c>
      <c r="D60" s="31" t="s">
        <v>103</v>
      </c>
      <c r="E60" s="40" t="s">
        <v>195</v>
      </c>
      <c r="F60" s="14"/>
      <c r="G60" s="14"/>
      <c r="H60" s="14"/>
      <c r="I60" s="14"/>
      <c r="J60" s="14"/>
      <c r="K60" s="14"/>
      <c r="L60" s="14"/>
      <c r="M60" s="14"/>
      <c r="N60" s="14"/>
      <c r="O60" s="14">
        <v>20000</v>
      </c>
      <c r="P60" s="14">
        <v>-20000</v>
      </c>
      <c r="Q60" s="14"/>
      <c r="R60" s="14"/>
      <c r="S60" s="14"/>
      <c r="T60" s="1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8">
        <f t="shared" si="16"/>
        <v>0</v>
      </c>
      <c r="AF60" s="24"/>
      <c r="AG60" s="19">
        <f t="shared" si="14"/>
        <v>0</v>
      </c>
    </row>
    <row r="61" spans="1:33" s="20" customFormat="1" ht="13.5">
      <c r="A61" s="30"/>
      <c r="B61" s="22" t="s">
        <v>196</v>
      </c>
      <c r="C61" s="31" t="s">
        <v>197</v>
      </c>
      <c r="D61" s="31" t="s">
        <v>99</v>
      </c>
      <c r="E61" s="34" t="s">
        <v>198</v>
      </c>
      <c r="F61" s="14">
        <v>37862</v>
      </c>
      <c r="G61" s="14">
        <v>12117</v>
      </c>
      <c r="H61" s="14">
        <v>10000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8">
        <f aca="true" t="shared" si="18" ref="T61:T69">SUM(F61:S61)</f>
        <v>59979</v>
      </c>
      <c r="U61" s="14"/>
      <c r="V61" s="14"/>
      <c r="W61" s="14"/>
      <c r="X61" s="14"/>
      <c r="Y61" s="14"/>
      <c r="Z61" s="14"/>
      <c r="AA61" s="14"/>
      <c r="AB61" s="14">
        <v>59979</v>
      </c>
      <c r="AC61" s="14"/>
      <c r="AD61" s="14"/>
      <c r="AE61" s="18">
        <f t="shared" si="16"/>
        <v>59979</v>
      </c>
      <c r="AF61" s="24"/>
      <c r="AG61" s="19">
        <f t="shared" si="14"/>
        <v>0</v>
      </c>
    </row>
    <row r="62" spans="1:33" s="20" customFormat="1" ht="13.5">
      <c r="A62" s="30"/>
      <c r="B62" s="22" t="s">
        <v>199</v>
      </c>
      <c r="C62" s="31" t="s">
        <v>200</v>
      </c>
      <c r="D62" s="31" t="s">
        <v>130</v>
      </c>
      <c r="E62" s="35" t="s">
        <v>201</v>
      </c>
      <c r="F62" s="14">
        <v>59282</v>
      </c>
      <c r="G62" s="14">
        <v>18757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8">
        <f t="shared" si="18"/>
        <v>78039</v>
      </c>
      <c r="U62" s="14"/>
      <c r="V62" s="14"/>
      <c r="W62" s="14"/>
      <c r="X62" s="14"/>
      <c r="Y62" s="14"/>
      <c r="Z62" s="14"/>
      <c r="AA62" s="14"/>
      <c r="AB62" s="14">
        <v>78039</v>
      </c>
      <c r="AC62" s="14"/>
      <c r="AD62" s="14"/>
      <c r="AE62" s="18">
        <f t="shared" si="16"/>
        <v>78039</v>
      </c>
      <c r="AF62" s="24"/>
      <c r="AG62" s="19">
        <f t="shared" si="14"/>
        <v>0</v>
      </c>
    </row>
    <row r="63" spans="1:33" s="20" customFormat="1" ht="13.5">
      <c r="A63" s="30"/>
      <c r="B63" s="22" t="s">
        <v>202</v>
      </c>
      <c r="C63" s="31" t="s">
        <v>203</v>
      </c>
      <c r="D63" s="31" t="s">
        <v>130</v>
      </c>
      <c r="E63" s="35" t="s">
        <v>204</v>
      </c>
      <c r="F63" s="14">
        <v>176404</v>
      </c>
      <c r="G63" s="14">
        <v>56445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8">
        <f t="shared" si="18"/>
        <v>232849</v>
      </c>
      <c r="U63" s="14"/>
      <c r="V63" s="14"/>
      <c r="W63" s="14"/>
      <c r="X63" s="14"/>
      <c r="Y63" s="14"/>
      <c r="Z63" s="14"/>
      <c r="AA63" s="14"/>
      <c r="AB63" s="14">
        <v>232849</v>
      </c>
      <c r="AC63" s="14"/>
      <c r="AD63" s="14"/>
      <c r="AE63" s="18">
        <f t="shared" si="16"/>
        <v>232849</v>
      </c>
      <c r="AF63" s="24"/>
      <c r="AG63" s="19">
        <f t="shared" si="14"/>
        <v>0</v>
      </c>
    </row>
    <row r="64" spans="1:33" s="20" customFormat="1" ht="13.5">
      <c r="A64" s="30"/>
      <c r="B64" s="22" t="s">
        <v>364</v>
      </c>
      <c r="C64" s="31" t="s">
        <v>203</v>
      </c>
      <c r="D64" s="31" t="s">
        <v>99</v>
      </c>
      <c r="E64" s="45" t="s">
        <v>205</v>
      </c>
      <c r="F64" s="14">
        <v>38875</v>
      </c>
      <c r="G64" s="14">
        <v>12440</v>
      </c>
      <c r="H64" s="14">
        <v>8685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8">
        <f t="shared" si="18"/>
        <v>60000</v>
      </c>
      <c r="U64" s="14"/>
      <c r="V64" s="14"/>
      <c r="W64" s="14"/>
      <c r="X64" s="14">
        <v>60000</v>
      </c>
      <c r="Y64" s="14"/>
      <c r="Z64" s="14"/>
      <c r="AA64" s="14"/>
      <c r="AB64" s="14"/>
      <c r="AC64" s="14"/>
      <c r="AD64" s="14"/>
      <c r="AE64" s="18">
        <f t="shared" si="16"/>
        <v>60000</v>
      </c>
      <c r="AF64" s="24"/>
      <c r="AG64" s="19">
        <f t="shared" si="14"/>
        <v>0</v>
      </c>
    </row>
    <row r="65" spans="1:33" s="20" customFormat="1" ht="13.5">
      <c r="A65" s="30"/>
      <c r="B65" s="22" t="s">
        <v>206</v>
      </c>
      <c r="C65" s="31" t="s">
        <v>207</v>
      </c>
      <c r="D65" s="31" t="s">
        <v>103</v>
      </c>
      <c r="E65" s="14" t="s">
        <v>208</v>
      </c>
      <c r="F65" s="14">
        <v>600</v>
      </c>
      <c r="G65" s="14">
        <v>157</v>
      </c>
      <c r="H65" s="14">
        <v>12161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8">
        <f t="shared" si="18"/>
        <v>12918</v>
      </c>
      <c r="U65" s="14"/>
      <c r="V65" s="14"/>
      <c r="W65" s="14">
        <v>12918</v>
      </c>
      <c r="X65" s="14"/>
      <c r="Y65" s="14"/>
      <c r="Z65" s="14"/>
      <c r="AA65" s="14"/>
      <c r="AB65" s="14"/>
      <c r="AC65" s="14"/>
      <c r="AD65" s="14"/>
      <c r="AE65" s="18">
        <f t="shared" si="16"/>
        <v>12918</v>
      </c>
      <c r="AF65" s="24"/>
      <c r="AG65" s="19">
        <f t="shared" si="14"/>
        <v>0</v>
      </c>
    </row>
    <row r="66" spans="1:33" s="20" customFormat="1" ht="13.5">
      <c r="A66" s="30"/>
      <c r="B66" s="22" t="s">
        <v>209</v>
      </c>
      <c r="C66" s="31" t="s">
        <v>207</v>
      </c>
      <c r="D66" s="31" t="s">
        <v>103</v>
      </c>
      <c r="E66" s="22" t="s">
        <v>183</v>
      </c>
      <c r="F66" s="14">
        <v>290000</v>
      </c>
      <c r="G66" s="14">
        <v>976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8">
        <f t="shared" si="18"/>
        <v>290976</v>
      </c>
      <c r="U66" s="14"/>
      <c r="V66" s="14"/>
      <c r="W66" s="14">
        <v>290976</v>
      </c>
      <c r="X66" s="14"/>
      <c r="Y66" s="14"/>
      <c r="Z66" s="14"/>
      <c r="AA66" s="14"/>
      <c r="AB66" s="14"/>
      <c r="AC66" s="14"/>
      <c r="AD66" s="14"/>
      <c r="AE66" s="18">
        <f t="shared" si="16"/>
        <v>290976</v>
      </c>
      <c r="AF66" s="24"/>
      <c r="AG66" s="19">
        <f t="shared" si="14"/>
        <v>0</v>
      </c>
    </row>
    <row r="67" spans="1:33" s="20" customFormat="1" ht="13.5">
      <c r="A67" s="30"/>
      <c r="B67" s="22" t="s">
        <v>365</v>
      </c>
      <c r="C67" s="31" t="s">
        <v>210</v>
      </c>
      <c r="D67" s="31" t="s">
        <v>99</v>
      </c>
      <c r="E67" s="45" t="s">
        <v>205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6">
        <v>18444</v>
      </c>
      <c r="Q67" s="14"/>
      <c r="R67" s="14"/>
      <c r="S67" s="14"/>
      <c r="T67" s="18">
        <f t="shared" si="18"/>
        <v>18444</v>
      </c>
      <c r="U67" s="14"/>
      <c r="V67" s="14"/>
      <c r="W67" s="14"/>
      <c r="X67" s="14"/>
      <c r="Y67" s="14">
        <v>3318</v>
      </c>
      <c r="Z67" s="14"/>
      <c r="AA67" s="14">
        <v>15126</v>
      </c>
      <c r="AB67" s="14"/>
      <c r="AC67" s="14"/>
      <c r="AD67" s="14"/>
      <c r="AE67" s="18">
        <f t="shared" si="16"/>
        <v>18444</v>
      </c>
      <c r="AF67" s="24"/>
      <c r="AG67" s="19">
        <f aca="true" t="shared" si="19" ref="AG67:AG98">AE67-T67</f>
        <v>0</v>
      </c>
    </row>
    <row r="68" spans="1:33" s="20" customFormat="1" ht="13.5">
      <c r="A68" s="30"/>
      <c r="B68" s="22" t="s">
        <v>365</v>
      </c>
      <c r="C68" s="31" t="s">
        <v>210</v>
      </c>
      <c r="D68" s="31" t="s">
        <v>99</v>
      </c>
      <c r="E68" s="47" t="s">
        <v>211</v>
      </c>
      <c r="F68" s="14"/>
      <c r="G68" s="14"/>
      <c r="H68" s="14"/>
      <c r="I68" s="14"/>
      <c r="J68" s="14"/>
      <c r="K68" s="14">
        <v>10000</v>
      </c>
      <c r="L68" s="14"/>
      <c r="M68" s="14"/>
      <c r="N68" s="14"/>
      <c r="O68" s="14"/>
      <c r="P68" s="46">
        <v>65000</v>
      </c>
      <c r="Q68" s="14"/>
      <c r="R68" s="14"/>
      <c r="S68" s="14"/>
      <c r="T68" s="18">
        <f t="shared" si="18"/>
        <v>75000</v>
      </c>
      <c r="U68" s="14"/>
      <c r="V68" s="14"/>
      <c r="W68" s="14"/>
      <c r="X68" s="14">
        <v>10000</v>
      </c>
      <c r="Y68" s="14">
        <v>65000</v>
      </c>
      <c r="Z68" s="14"/>
      <c r="AA68" s="14"/>
      <c r="AB68" s="14"/>
      <c r="AC68" s="14"/>
      <c r="AD68" s="14"/>
      <c r="AE68" s="18">
        <f t="shared" si="16"/>
        <v>75000</v>
      </c>
      <c r="AF68" s="24"/>
      <c r="AG68" s="19">
        <f t="shared" si="19"/>
        <v>0</v>
      </c>
    </row>
    <row r="69" spans="1:33" s="20" customFormat="1" ht="13.5">
      <c r="A69" s="30"/>
      <c r="B69" s="22" t="s">
        <v>212</v>
      </c>
      <c r="C69" s="31" t="s">
        <v>213</v>
      </c>
      <c r="D69" s="31" t="s">
        <v>99</v>
      </c>
      <c r="E69" s="47" t="s">
        <v>214</v>
      </c>
      <c r="F69" s="14">
        <v>27240</v>
      </c>
      <c r="G69" s="14">
        <v>8037</v>
      </c>
      <c r="H69" s="14">
        <v>9378</v>
      </c>
      <c r="I69" s="14"/>
      <c r="J69" s="14"/>
      <c r="K69" s="14"/>
      <c r="L69" s="14"/>
      <c r="M69" s="14"/>
      <c r="N69" s="14"/>
      <c r="O69" s="14"/>
      <c r="P69" s="46"/>
      <c r="Q69" s="14"/>
      <c r="R69" s="14"/>
      <c r="S69" s="14"/>
      <c r="T69" s="18">
        <f t="shared" si="18"/>
        <v>44655</v>
      </c>
      <c r="U69" s="14"/>
      <c r="V69" s="14"/>
      <c r="W69" s="14"/>
      <c r="X69" s="14"/>
      <c r="Y69" s="14"/>
      <c r="Z69" s="14"/>
      <c r="AA69" s="14"/>
      <c r="AB69" s="14">
        <v>44655</v>
      </c>
      <c r="AC69" s="14"/>
      <c r="AD69" s="14"/>
      <c r="AE69" s="18">
        <f t="shared" si="16"/>
        <v>44655</v>
      </c>
      <c r="AF69" s="24"/>
      <c r="AG69" s="19">
        <f t="shared" si="19"/>
        <v>0</v>
      </c>
    </row>
    <row r="70" spans="1:33" s="20" customFormat="1" ht="13.5">
      <c r="A70" s="30"/>
      <c r="B70" s="495" t="s">
        <v>215</v>
      </c>
      <c r="C70" s="496"/>
      <c r="D70" s="496"/>
      <c r="E70" s="497"/>
      <c r="F70" s="24">
        <f aca="true" t="shared" si="20" ref="F70:AE70">SUM(F60:F69)</f>
        <v>630263</v>
      </c>
      <c r="G70" s="24">
        <f t="shared" si="20"/>
        <v>108929</v>
      </c>
      <c r="H70" s="24">
        <f t="shared" si="20"/>
        <v>40224</v>
      </c>
      <c r="I70" s="24">
        <f t="shared" si="20"/>
        <v>0</v>
      </c>
      <c r="J70" s="24">
        <f t="shared" si="20"/>
        <v>0</v>
      </c>
      <c r="K70" s="24">
        <f t="shared" si="20"/>
        <v>10000</v>
      </c>
      <c r="L70" s="24">
        <f t="shared" si="20"/>
        <v>0</v>
      </c>
      <c r="M70" s="24">
        <f t="shared" si="20"/>
        <v>0</v>
      </c>
      <c r="N70" s="24">
        <f t="shared" si="20"/>
        <v>0</v>
      </c>
      <c r="O70" s="24">
        <f t="shared" si="20"/>
        <v>20000</v>
      </c>
      <c r="P70" s="24">
        <f t="shared" si="20"/>
        <v>63444</v>
      </c>
      <c r="Q70" s="24">
        <f t="shared" si="20"/>
        <v>0</v>
      </c>
      <c r="R70" s="24">
        <f t="shared" si="20"/>
        <v>0</v>
      </c>
      <c r="S70" s="24">
        <f t="shared" si="20"/>
        <v>0</v>
      </c>
      <c r="T70" s="24">
        <f t="shared" si="20"/>
        <v>872860</v>
      </c>
      <c r="U70" s="24">
        <f t="shared" si="20"/>
        <v>0</v>
      </c>
      <c r="V70" s="24">
        <f t="shared" si="20"/>
        <v>0</v>
      </c>
      <c r="W70" s="24">
        <f t="shared" si="20"/>
        <v>303894</v>
      </c>
      <c r="X70" s="24">
        <f t="shared" si="20"/>
        <v>70000</v>
      </c>
      <c r="Y70" s="24">
        <f t="shared" si="20"/>
        <v>68318</v>
      </c>
      <c r="Z70" s="24">
        <f t="shared" si="20"/>
        <v>0</v>
      </c>
      <c r="AA70" s="24">
        <f t="shared" si="20"/>
        <v>15126</v>
      </c>
      <c r="AB70" s="24">
        <f t="shared" si="20"/>
        <v>415522</v>
      </c>
      <c r="AC70" s="24">
        <f t="shared" si="20"/>
        <v>0</v>
      </c>
      <c r="AD70" s="24">
        <f t="shared" si="20"/>
        <v>0</v>
      </c>
      <c r="AE70" s="24">
        <f t="shared" si="20"/>
        <v>872860</v>
      </c>
      <c r="AF70" s="24">
        <f>SUM(AF60:AF68)</f>
        <v>0</v>
      </c>
      <c r="AG70" s="19">
        <f t="shared" si="19"/>
        <v>0</v>
      </c>
    </row>
    <row r="71" spans="1:33" s="20" customFormat="1" ht="12.75">
      <c r="A71" s="30"/>
      <c r="B71" s="22" t="s">
        <v>366</v>
      </c>
      <c r="C71" s="31" t="s">
        <v>216</v>
      </c>
      <c r="D71" s="31" t="s">
        <v>99</v>
      </c>
      <c r="E71" s="45" t="s">
        <v>205</v>
      </c>
      <c r="F71" s="14"/>
      <c r="G71" s="14"/>
      <c r="H71" s="14">
        <v>14563</v>
      </c>
      <c r="I71" s="14"/>
      <c r="J71" s="14"/>
      <c r="K71" s="14"/>
      <c r="L71" s="14"/>
      <c r="M71" s="14"/>
      <c r="N71" s="14"/>
      <c r="O71" s="14"/>
      <c r="P71" s="14">
        <v>-14563</v>
      </c>
      <c r="Q71" s="14"/>
      <c r="R71" s="14"/>
      <c r="S71" s="14"/>
      <c r="T71" s="18">
        <f aca="true" t="shared" si="21" ref="T71:T84">SUM(F71:S71)</f>
        <v>0</v>
      </c>
      <c r="U71" s="14"/>
      <c r="V71" s="14"/>
      <c r="W71" s="14">
        <v>14563</v>
      </c>
      <c r="X71" s="14"/>
      <c r="Y71" s="14"/>
      <c r="Z71" s="14"/>
      <c r="AA71" s="14">
        <v>-14563</v>
      </c>
      <c r="AB71" s="14"/>
      <c r="AC71" s="14"/>
      <c r="AD71" s="14"/>
      <c r="AE71" s="18">
        <f aca="true" t="shared" si="22" ref="AE71:AE84">SUM(U71:AD71)</f>
        <v>0</v>
      </c>
      <c r="AF71" s="14"/>
      <c r="AG71" s="19">
        <f t="shared" si="19"/>
        <v>0</v>
      </c>
    </row>
    <row r="72" spans="1:33" s="20" customFormat="1" ht="12.75">
      <c r="A72" s="30"/>
      <c r="B72" s="22" t="s">
        <v>217</v>
      </c>
      <c r="C72" s="31" t="s">
        <v>218</v>
      </c>
      <c r="D72" s="31" t="s">
        <v>99</v>
      </c>
      <c r="E72" s="34" t="s">
        <v>219</v>
      </c>
      <c r="F72" s="14"/>
      <c r="G72" s="14"/>
      <c r="H72" s="14">
        <v>41804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8">
        <f t="shared" si="21"/>
        <v>41804</v>
      </c>
      <c r="U72" s="14"/>
      <c r="V72" s="14"/>
      <c r="W72" s="14"/>
      <c r="X72" s="14"/>
      <c r="Y72" s="14"/>
      <c r="Z72" s="14"/>
      <c r="AA72" s="14"/>
      <c r="AB72" s="14">
        <v>41804</v>
      </c>
      <c r="AC72" s="14"/>
      <c r="AD72" s="14"/>
      <c r="AE72" s="18">
        <f t="shared" si="22"/>
        <v>41804</v>
      </c>
      <c r="AF72" s="14"/>
      <c r="AG72" s="19">
        <f t="shared" si="19"/>
        <v>0</v>
      </c>
    </row>
    <row r="73" spans="1:33" s="20" customFormat="1" ht="12.75">
      <c r="A73" s="30"/>
      <c r="B73" s="22" t="s">
        <v>367</v>
      </c>
      <c r="C73" s="31" t="s">
        <v>220</v>
      </c>
      <c r="D73" s="31" t="s">
        <v>99</v>
      </c>
      <c r="E73" s="45" t="s">
        <v>205</v>
      </c>
      <c r="F73" s="14">
        <v>-19829</v>
      </c>
      <c r="G73" s="14">
        <v>-6345</v>
      </c>
      <c r="H73" s="14">
        <v>-3826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8">
        <f t="shared" si="21"/>
        <v>-30000</v>
      </c>
      <c r="U73" s="14"/>
      <c r="V73" s="14"/>
      <c r="W73" s="14"/>
      <c r="X73" s="14">
        <v>-30000</v>
      </c>
      <c r="Y73" s="14"/>
      <c r="Z73" s="14"/>
      <c r="AA73" s="14"/>
      <c r="AB73" s="14"/>
      <c r="AC73" s="14"/>
      <c r="AD73" s="14"/>
      <c r="AE73" s="18">
        <f t="shared" si="22"/>
        <v>-30000</v>
      </c>
      <c r="AF73" s="14"/>
      <c r="AG73" s="19">
        <f t="shared" si="19"/>
        <v>0</v>
      </c>
    </row>
    <row r="74" spans="1:33" s="20" customFormat="1" ht="12.75">
      <c r="A74" s="30"/>
      <c r="B74" s="22" t="s">
        <v>368</v>
      </c>
      <c r="C74" s="31" t="s">
        <v>221</v>
      </c>
      <c r="D74" s="31" t="s">
        <v>99</v>
      </c>
      <c r="E74" s="45" t="s">
        <v>205</v>
      </c>
      <c r="F74" s="14"/>
      <c r="G74" s="14">
        <v>-1</v>
      </c>
      <c r="H74" s="14">
        <v>1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8">
        <f t="shared" si="21"/>
        <v>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8">
        <f t="shared" si="22"/>
        <v>0</v>
      </c>
      <c r="AF74" s="14"/>
      <c r="AG74" s="19">
        <f t="shared" si="19"/>
        <v>0</v>
      </c>
    </row>
    <row r="75" spans="1:33" s="20" customFormat="1" ht="13.5">
      <c r="A75" s="30"/>
      <c r="B75" s="495" t="s">
        <v>222</v>
      </c>
      <c r="C75" s="496"/>
      <c r="D75" s="496"/>
      <c r="E75" s="497"/>
      <c r="F75" s="24">
        <f aca="true" t="shared" si="23" ref="F75:S75">SUM(F71:F74)</f>
        <v>-19829</v>
      </c>
      <c r="G75" s="24">
        <f t="shared" si="23"/>
        <v>-6346</v>
      </c>
      <c r="H75" s="24">
        <f t="shared" si="23"/>
        <v>52542</v>
      </c>
      <c r="I75" s="24">
        <f t="shared" si="23"/>
        <v>0</v>
      </c>
      <c r="J75" s="24">
        <f t="shared" si="23"/>
        <v>0</v>
      </c>
      <c r="K75" s="24">
        <f t="shared" si="23"/>
        <v>0</v>
      </c>
      <c r="L75" s="24">
        <f t="shared" si="23"/>
        <v>0</v>
      </c>
      <c r="M75" s="24">
        <f t="shared" si="23"/>
        <v>0</v>
      </c>
      <c r="N75" s="24">
        <f t="shared" si="23"/>
        <v>0</v>
      </c>
      <c r="O75" s="24">
        <f t="shared" si="23"/>
        <v>0</v>
      </c>
      <c r="P75" s="24">
        <f t="shared" si="23"/>
        <v>-14563</v>
      </c>
      <c r="Q75" s="24">
        <f t="shared" si="23"/>
        <v>0</v>
      </c>
      <c r="R75" s="24">
        <f t="shared" si="23"/>
        <v>0</v>
      </c>
      <c r="S75" s="24">
        <f t="shared" si="23"/>
        <v>0</v>
      </c>
      <c r="T75" s="18">
        <f t="shared" si="21"/>
        <v>11804</v>
      </c>
      <c r="U75" s="24">
        <f aca="true" t="shared" si="24" ref="U75:AD75">SUM(U71:U74)</f>
        <v>0</v>
      </c>
      <c r="V75" s="24">
        <f t="shared" si="24"/>
        <v>0</v>
      </c>
      <c r="W75" s="24">
        <f t="shared" si="24"/>
        <v>14563</v>
      </c>
      <c r="X75" s="24">
        <f t="shared" si="24"/>
        <v>-30000</v>
      </c>
      <c r="Y75" s="24">
        <f t="shared" si="24"/>
        <v>0</v>
      </c>
      <c r="Z75" s="24">
        <f t="shared" si="24"/>
        <v>0</v>
      </c>
      <c r="AA75" s="24">
        <f t="shared" si="24"/>
        <v>-14563</v>
      </c>
      <c r="AB75" s="24">
        <f t="shared" si="24"/>
        <v>41804</v>
      </c>
      <c r="AC75" s="24">
        <f t="shared" si="24"/>
        <v>0</v>
      </c>
      <c r="AD75" s="24">
        <f t="shared" si="24"/>
        <v>0</v>
      </c>
      <c r="AE75" s="18">
        <f t="shared" si="22"/>
        <v>11804</v>
      </c>
      <c r="AF75" s="24">
        <f>SUM(AF71:AF74)</f>
        <v>0</v>
      </c>
      <c r="AG75" s="19">
        <f t="shared" si="19"/>
        <v>0</v>
      </c>
    </row>
    <row r="76" spans="1:33" s="20" customFormat="1" ht="12.75">
      <c r="A76" s="30"/>
      <c r="B76" s="22" t="s">
        <v>223</v>
      </c>
      <c r="C76" s="31" t="s">
        <v>224</v>
      </c>
      <c r="D76" s="31" t="s">
        <v>103</v>
      </c>
      <c r="E76" s="14" t="s">
        <v>225</v>
      </c>
      <c r="F76" s="14"/>
      <c r="G76" s="14"/>
      <c r="H76" s="14">
        <v>4000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8">
        <f t="shared" si="21"/>
        <v>4000</v>
      </c>
      <c r="U76" s="14"/>
      <c r="V76" s="14"/>
      <c r="W76" s="14">
        <v>4000</v>
      </c>
      <c r="X76" s="14"/>
      <c r="Y76" s="14"/>
      <c r="Z76" s="14"/>
      <c r="AA76" s="14"/>
      <c r="AB76" s="14"/>
      <c r="AC76" s="14"/>
      <c r="AD76" s="14"/>
      <c r="AE76" s="18">
        <f t="shared" si="22"/>
        <v>4000</v>
      </c>
      <c r="AF76" s="14"/>
      <c r="AG76" s="19">
        <f t="shared" si="19"/>
        <v>0</v>
      </c>
    </row>
    <row r="77" spans="1:33" s="20" customFormat="1" ht="12.75">
      <c r="A77" s="30"/>
      <c r="B77" s="22" t="s">
        <v>223</v>
      </c>
      <c r="C77" s="31" t="s">
        <v>224</v>
      </c>
      <c r="D77" s="31" t="s">
        <v>103</v>
      </c>
      <c r="E77" s="22" t="s">
        <v>183</v>
      </c>
      <c r="F77" s="14">
        <v>322430</v>
      </c>
      <c r="G77" s="14">
        <v>103182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8">
        <f t="shared" si="21"/>
        <v>425612</v>
      </c>
      <c r="U77" s="14"/>
      <c r="V77" s="14"/>
      <c r="W77" s="14">
        <v>425612</v>
      </c>
      <c r="X77" s="14"/>
      <c r="Y77" s="14"/>
      <c r="Z77" s="14"/>
      <c r="AA77" s="14"/>
      <c r="AB77" s="14"/>
      <c r="AC77" s="14"/>
      <c r="AD77" s="14"/>
      <c r="AE77" s="18">
        <f t="shared" si="22"/>
        <v>425612</v>
      </c>
      <c r="AF77" s="14"/>
      <c r="AG77" s="19">
        <f t="shared" si="19"/>
        <v>0</v>
      </c>
    </row>
    <row r="78" spans="1:33" s="20" customFormat="1" ht="12.75">
      <c r="A78" s="30"/>
      <c r="B78" s="22" t="s">
        <v>223</v>
      </c>
      <c r="C78" s="31" t="s">
        <v>224</v>
      </c>
      <c r="D78" s="31" t="s">
        <v>103</v>
      </c>
      <c r="E78" s="14" t="s">
        <v>226</v>
      </c>
      <c r="F78" s="14">
        <v>23672</v>
      </c>
      <c r="G78" s="14">
        <v>7575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8">
        <f t="shared" si="21"/>
        <v>31247</v>
      </c>
      <c r="U78" s="14"/>
      <c r="V78" s="14"/>
      <c r="W78" s="14">
        <v>31247</v>
      </c>
      <c r="X78" s="14"/>
      <c r="Y78" s="14"/>
      <c r="Z78" s="14"/>
      <c r="AA78" s="14"/>
      <c r="AB78" s="14"/>
      <c r="AC78" s="14"/>
      <c r="AD78" s="14"/>
      <c r="AE78" s="18">
        <f t="shared" si="22"/>
        <v>31247</v>
      </c>
      <c r="AF78" s="14"/>
      <c r="AG78" s="19">
        <f t="shared" si="19"/>
        <v>0</v>
      </c>
    </row>
    <row r="79" spans="1:33" s="20" customFormat="1" ht="12.75">
      <c r="A79" s="30"/>
      <c r="B79" s="22" t="s">
        <v>223</v>
      </c>
      <c r="C79" s="31" t="s">
        <v>224</v>
      </c>
      <c r="D79" s="31" t="s">
        <v>103</v>
      </c>
      <c r="E79" s="14" t="s">
        <v>227</v>
      </c>
      <c r="F79" s="14"/>
      <c r="G79" s="14"/>
      <c r="H79" s="14">
        <v>1245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8">
        <f t="shared" si="21"/>
        <v>1245</v>
      </c>
      <c r="U79" s="14"/>
      <c r="V79" s="14"/>
      <c r="W79" s="14">
        <v>1245</v>
      </c>
      <c r="X79" s="14"/>
      <c r="Y79" s="14"/>
      <c r="Z79" s="14"/>
      <c r="AA79" s="14"/>
      <c r="AB79" s="14"/>
      <c r="AC79" s="14"/>
      <c r="AD79" s="14"/>
      <c r="AE79" s="18">
        <f t="shared" si="22"/>
        <v>1245</v>
      </c>
      <c r="AF79" s="14"/>
      <c r="AG79" s="19">
        <f t="shared" si="19"/>
        <v>0</v>
      </c>
    </row>
    <row r="80" spans="1:33" s="20" customFormat="1" ht="12.75">
      <c r="A80" s="30"/>
      <c r="B80" s="22" t="s">
        <v>223</v>
      </c>
      <c r="C80" s="31" t="s">
        <v>224</v>
      </c>
      <c r="D80" s="31" t="s">
        <v>103</v>
      </c>
      <c r="E80" s="14" t="s">
        <v>228</v>
      </c>
      <c r="F80" s="14">
        <v>1300</v>
      </c>
      <c r="G80" s="14">
        <v>416</v>
      </c>
      <c r="H80" s="14">
        <v>11735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8">
        <f t="shared" si="21"/>
        <v>13451</v>
      </c>
      <c r="U80" s="14"/>
      <c r="V80" s="14">
        <v>13451</v>
      </c>
      <c r="W80" s="14"/>
      <c r="X80" s="14"/>
      <c r="Y80" s="14"/>
      <c r="Z80" s="14"/>
      <c r="AA80" s="14"/>
      <c r="AB80" s="14"/>
      <c r="AC80" s="14"/>
      <c r="AD80" s="14"/>
      <c r="AE80" s="18">
        <f t="shared" si="22"/>
        <v>13451</v>
      </c>
      <c r="AF80" s="14"/>
      <c r="AG80" s="19">
        <f t="shared" si="19"/>
        <v>0</v>
      </c>
    </row>
    <row r="81" spans="1:33" s="20" customFormat="1" ht="12.75">
      <c r="A81" s="30"/>
      <c r="B81" s="22" t="s">
        <v>223</v>
      </c>
      <c r="C81" s="31" t="s">
        <v>224</v>
      </c>
      <c r="D81" s="31" t="s">
        <v>103</v>
      </c>
      <c r="E81" s="14" t="s">
        <v>229</v>
      </c>
      <c r="F81" s="14">
        <v>4899</v>
      </c>
      <c r="G81" s="14">
        <v>1568</v>
      </c>
      <c r="H81" s="14">
        <v>2426</v>
      </c>
      <c r="I81" s="14"/>
      <c r="J81" s="14"/>
      <c r="K81" s="14"/>
      <c r="L81" s="14"/>
      <c r="M81" s="14"/>
      <c r="N81" s="14"/>
      <c r="O81" s="14"/>
      <c r="P81" s="14">
        <v>1016</v>
      </c>
      <c r="Q81" s="14"/>
      <c r="R81" s="14"/>
      <c r="S81" s="14"/>
      <c r="T81" s="18">
        <f t="shared" si="21"/>
        <v>9909</v>
      </c>
      <c r="U81" s="14"/>
      <c r="V81" s="14">
        <v>696</v>
      </c>
      <c r="W81" s="14">
        <v>8893</v>
      </c>
      <c r="X81" s="14"/>
      <c r="Y81" s="14"/>
      <c r="Z81" s="14"/>
      <c r="AA81" s="14">
        <v>320</v>
      </c>
      <c r="AB81" s="14"/>
      <c r="AC81" s="14"/>
      <c r="AD81" s="14"/>
      <c r="AE81" s="18">
        <f t="shared" si="22"/>
        <v>9909</v>
      </c>
      <c r="AF81" s="14"/>
      <c r="AG81" s="19">
        <f t="shared" si="19"/>
        <v>0</v>
      </c>
    </row>
    <row r="82" spans="1:33" s="20" customFormat="1" ht="12.75">
      <c r="A82" s="30"/>
      <c r="B82" s="22" t="s">
        <v>369</v>
      </c>
      <c r="C82" s="31" t="s">
        <v>230</v>
      </c>
      <c r="D82" s="31" t="s">
        <v>99</v>
      </c>
      <c r="E82" s="14" t="s">
        <v>231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>
        <v>10000</v>
      </c>
      <c r="Q82" s="14"/>
      <c r="R82" s="14"/>
      <c r="S82" s="14"/>
      <c r="T82" s="18">
        <f t="shared" si="21"/>
        <v>10000</v>
      </c>
      <c r="U82" s="14"/>
      <c r="V82" s="14"/>
      <c r="W82" s="14"/>
      <c r="X82" s="14"/>
      <c r="Y82" s="14">
        <v>10000</v>
      </c>
      <c r="Z82" s="14"/>
      <c r="AA82" s="14"/>
      <c r="AB82" s="14"/>
      <c r="AC82" s="14"/>
      <c r="AD82" s="14"/>
      <c r="AE82" s="18">
        <f t="shared" si="22"/>
        <v>10000</v>
      </c>
      <c r="AF82" s="14"/>
      <c r="AG82" s="19">
        <f t="shared" si="19"/>
        <v>0</v>
      </c>
    </row>
    <row r="83" spans="1:33" s="20" customFormat="1" ht="12.75">
      <c r="A83" s="30"/>
      <c r="B83" s="22" t="s">
        <v>232</v>
      </c>
      <c r="C83" s="31" t="s">
        <v>233</v>
      </c>
      <c r="D83" s="31" t="s">
        <v>99</v>
      </c>
      <c r="E83" s="14" t="s">
        <v>234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v>30000</v>
      </c>
      <c r="Q83" s="14"/>
      <c r="R83" s="14"/>
      <c r="S83" s="14"/>
      <c r="T83" s="18">
        <f t="shared" si="21"/>
        <v>30000</v>
      </c>
      <c r="U83" s="14"/>
      <c r="V83" s="14"/>
      <c r="W83" s="14"/>
      <c r="X83" s="14"/>
      <c r="Y83" s="14"/>
      <c r="Z83" s="14"/>
      <c r="AA83" s="14"/>
      <c r="AB83" s="14">
        <v>30000</v>
      </c>
      <c r="AC83" s="14"/>
      <c r="AD83" s="14"/>
      <c r="AE83" s="18">
        <f t="shared" si="22"/>
        <v>30000</v>
      </c>
      <c r="AF83" s="14"/>
      <c r="AG83" s="19">
        <f t="shared" si="19"/>
        <v>0</v>
      </c>
    </row>
    <row r="84" spans="1:33" s="20" customFormat="1" ht="12.75">
      <c r="A84" s="30"/>
      <c r="B84" s="22" t="s">
        <v>235</v>
      </c>
      <c r="C84" s="31" t="s">
        <v>236</v>
      </c>
      <c r="D84" s="31" t="s">
        <v>99</v>
      </c>
      <c r="E84" s="34" t="s">
        <v>237</v>
      </c>
      <c r="F84" s="14"/>
      <c r="G84" s="14"/>
      <c r="H84" s="14">
        <v>64521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8">
        <f t="shared" si="21"/>
        <v>64521</v>
      </c>
      <c r="U84" s="14"/>
      <c r="V84" s="14"/>
      <c r="W84" s="14"/>
      <c r="X84" s="14"/>
      <c r="Y84" s="14"/>
      <c r="Z84" s="14"/>
      <c r="AA84" s="14"/>
      <c r="AB84" s="14">
        <v>64521</v>
      </c>
      <c r="AC84" s="14"/>
      <c r="AD84" s="14"/>
      <c r="AE84" s="18">
        <f t="shared" si="22"/>
        <v>64521</v>
      </c>
      <c r="AF84" s="14"/>
      <c r="AG84" s="19">
        <f t="shared" si="19"/>
        <v>0</v>
      </c>
    </row>
    <row r="85" spans="1:33" s="20" customFormat="1" ht="13.5">
      <c r="A85" s="30"/>
      <c r="B85" s="495" t="s">
        <v>238</v>
      </c>
      <c r="C85" s="496"/>
      <c r="D85" s="496"/>
      <c r="E85" s="497"/>
      <c r="F85" s="24">
        <f aca="true" t="shared" si="25" ref="F85:AE85">SUM(F76:F84)</f>
        <v>352301</v>
      </c>
      <c r="G85" s="24">
        <f t="shared" si="25"/>
        <v>112741</v>
      </c>
      <c r="H85" s="24">
        <f t="shared" si="25"/>
        <v>83927</v>
      </c>
      <c r="I85" s="24">
        <f t="shared" si="25"/>
        <v>0</v>
      </c>
      <c r="J85" s="24">
        <f t="shared" si="25"/>
        <v>0</v>
      </c>
      <c r="K85" s="24">
        <f t="shared" si="25"/>
        <v>0</v>
      </c>
      <c r="L85" s="24">
        <f t="shared" si="25"/>
        <v>0</v>
      </c>
      <c r="M85" s="24">
        <f t="shared" si="25"/>
        <v>0</v>
      </c>
      <c r="N85" s="24">
        <f t="shared" si="25"/>
        <v>0</v>
      </c>
      <c r="O85" s="24">
        <f t="shared" si="25"/>
        <v>0</v>
      </c>
      <c r="P85" s="24">
        <f t="shared" si="25"/>
        <v>41016</v>
      </c>
      <c r="Q85" s="24">
        <f t="shared" si="25"/>
        <v>0</v>
      </c>
      <c r="R85" s="24">
        <f t="shared" si="25"/>
        <v>0</v>
      </c>
      <c r="S85" s="24">
        <f t="shared" si="25"/>
        <v>0</v>
      </c>
      <c r="T85" s="24">
        <f t="shared" si="25"/>
        <v>589985</v>
      </c>
      <c r="U85" s="24">
        <f t="shared" si="25"/>
        <v>0</v>
      </c>
      <c r="V85" s="24">
        <f t="shared" si="25"/>
        <v>14147</v>
      </c>
      <c r="W85" s="24">
        <f t="shared" si="25"/>
        <v>470997</v>
      </c>
      <c r="X85" s="24">
        <f t="shared" si="25"/>
        <v>0</v>
      </c>
      <c r="Y85" s="24">
        <f t="shared" si="25"/>
        <v>10000</v>
      </c>
      <c r="Z85" s="24">
        <f t="shared" si="25"/>
        <v>0</v>
      </c>
      <c r="AA85" s="24">
        <f t="shared" si="25"/>
        <v>320</v>
      </c>
      <c r="AB85" s="24">
        <f t="shared" si="25"/>
        <v>94521</v>
      </c>
      <c r="AC85" s="24">
        <f t="shared" si="25"/>
        <v>0</v>
      </c>
      <c r="AD85" s="24">
        <f t="shared" si="25"/>
        <v>0</v>
      </c>
      <c r="AE85" s="24">
        <f t="shared" si="25"/>
        <v>589985</v>
      </c>
      <c r="AF85" s="24">
        <f>SUM(AF74:AF82)</f>
        <v>0</v>
      </c>
      <c r="AG85" s="19">
        <f t="shared" si="19"/>
        <v>0</v>
      </c>
    </row>
    <row r="86" spans="1:33" s="20" customFormat="1" ht="13.5">
      <c r="A86" s="48" t="s">
        <v>239</v>
      </c>
      <c r="B86" s="48" t="s">
        <v>239</v>
      </c>
      <c r="C86" s="49" t="s">
        <v>240</v>
      </c>
      <c r="D86" s="50" t="s">
        <v>103</v>
      </c>
      <c r="E86" s="51" t="s">
        <v>119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8">
        <f aca="true" t="shared" si="26" ref="T86:T121">SUM(F86:S86)</f>
        <v>0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8">
        <f aca="true" t="shared" si="27" ref="AE86:AE121">SUM(U86:AD86)</f>
        <v>0</v>
      </c>
      <c r="AF86" s="24"/>
      <c r="AG86" s="19">
        <f t="shared" si="19"/>
        <v>0</v>
      </c>
    </row>
    <row r="87" spans="1:33" s="20" customFormat="1" ht="13.5">
      <c r="A87" s="52"/>
      <c r="B87" s="22" t="s">
        <v>241</v>
      </c>
      <c r="C87" s="49" t="s">
        <v>240</v>
      </c>
      <c r="D87" s="50" t="s">
        <v>130</v>
      </c>
      <c r="E87" s="51" t="s">
        <v>242</v>
      </c>
      <c r="F87" s="14">
        <v>59218</v>
      </c>
      <c r="G87" s="14">
        <v>12620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8">
        <f t="shared" si="26"/>
        <v>71838</v>
      </c>
      <c r="U87" s="14"/>
      <c r="V87" s="14"/>
      <c r="W87" s="14"/>
      <c r="X87" s="14"/>
      <c r="Y87" s="14"/>
      <c r="Z87" s="14"/>
      <c r="AA87" s="14"/>
      <c r="AB87" s="14">
        <v>71838</v>
      </c>
      <c r="AC87" s="14"/>
      <c r="AD87" s="14"/>
      <c r="AE87" s="18">
        <f t="shared" si="27"/>
        <v>71838</v>
      </c>
      <c r="AF87" s="24"/>
      <c r="AG87" s="19">
        <f t="shared" si="19"/>
        <v>0</v>
      </c>
    </row>
    <row r="88" spans="1:33" s="20" customFormat="1" ht="13.5">
      <c r="A88" s="52"/>
      <c r="B88" s="48" t="s">
        <v>243</v>
      </c>
      <c r="C88" s="49" t="s">
        <v>244</v>
      </c>
      <c r="D88" s="50" t="s">
        <v>103</v>
      </c>
      <c r="E88" s="22" t="s">
        <v>183</v>
      </c>
      <c r="F88" s="14"/>
      <c r="G88" s="14"/>
      <c r="H88" s="14">
        <v>153483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8">
        <f t="shared" si="26"/>
        <v>153483</v>
      </c>
      <c r="U88" s="14"/>
      <c r="V88" s="14"/>
      <c r="W88" s="14">
        <v>153483</v>
      </c>
      <c r="X88" s="14"/>
      <c r="Y88" s="14"/>
      <c r="Z88" s="14"/>
      <c r="AA88" s="14"/>
      <c r="AB88" s="14"/>
      <c r="AC88" s="14"/>
      <c r="AD88" s="14"/>
      <c r="AE88" s="18">
        <f t="shared" si="27"/>
        <v>153483</v>
      </c>
      <c r="AF88" s="24"/>
      <c r="AG88" s="19">
        <f t="shared" si="19"/>
        <v>0</v>
      </c>
    </row>
    <row r="89" spans="1:33" s="20" customFormat="1" ht="13.5">
      <c r="A89" s="52"/>
      <c r="B89" s="48" t="s">
        <v>243</v>
      </c>
      <c r="C89" s="49" t="s">
        <v>244</v>
      </c>
      <c r="D89" s="50" t="s">
        <v>103</v>
      </c>
      <c r="E89" s="14" t="s">
        <v>227</v>
      </c>
      <c r="F89" s="14"/>
      <c r="G89" s="14"/>
      <c r="H89" s="14">
        <v>3264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8">
        <f t="shared" si="26"/>
        <v>3264</v>
      </c>
      <c r="U89" s="14"/>
      <c r="V89" s="14"/>
      <c r="W89" s="14">
        <v>3264</v>
      </c>
      <c r="X89" s="14"/>
      <c r="Y89" s="14"/>
      <c r="Z89" s="14"/>
      <c r="AA89" s="14"/>
      <c r="AB89" s="14"/>
      <c r="AC89" s="14"/>
      <c r="AD89" s="14"/>
      <c r="AE89" s="18">
        <f t="shared" si="27"/>
        <v>3264</v>
      </c>
      <c r="AF89" s="24"/>
      <c r="AG89" s="19">
        <f t="shared" si="19"/>
        <v>0</v>
      </c>
    </row>
    <row r="90" spans="1:33" s="20" customFormat="1" ht="13.5">
      <c r="A90" s="52"/>
      <c r="B90" s="48" t="s">
        <v>243</v>
      </c>
      <c r="C90" s="49" t="s">
        <v>244</v>
      </c>
      <c r="D90" s="50" t="s">
        <v>103</v>
      </c>
      <c r="E90" s="51" t="s">
        <v>245</v>
      </c>
      <c r="F90" s="14">
        <v>32222</v>
      </c>
      <c r="G90" s="14">
        <v>11728</v>
      </c>
      <c r="H90" s="14">
        <v>12117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8">
        <f t="shared" si="26"/>
        <v>56067</v>
      </c>
      <c r="U90" s="14"/>
      <c r="V90" s="14">
        <v>56067</v>
      </c>
      <c r="W90" s="14"/>
      <c r="X90" s="14"/>
      <c r="Y90" s="14"/>
      <c r="Z90" s="14"/>
      <c r="AA90" s="14"/>
      <c r="AB90" s="14"/>
      <c r="AC90" s="14"/>
      <c r="AD90" s="14"/>
      <c r="AE90" s="18">
        <f t="shared" si="27"/>
        <v>56067</v>
      </c>
      <c r="AF90" s="24"/>
      <c r="AG90" s="19">
        <f t="shared" si="19"/>
        <v>0</v>
      </c>
    </row>
    <row r="91" spans="1:33" s="20" customFormat="1" ht="13.5">
      <c r="A91" s="52"/>
      <c r="B91" s="48" t="s">
        <v>243</v>
      </c>
      <c r="C91" s="49" t="s">
        <v>244</v>
      </c>
      <c r="D91" s="50" t="s">
        <v>103</v>
      </c>
      <c r="E91" s="51" t="s">
        <v>246</v>
      </c>
      <c r="F91" s="14">
        <v>1467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8">
        <f t="shared" si="26"/>
        <v>1467</v>
      </c>
      <c r="U91" s="14"/>
      <c r="V91" s="14"/>
      <c r="W91" s="14">
        <v>1467</v>
      </c>
      <c r="X91" s="14"/>
      <c r="Y91" s="14"/>
      <c r="Z91" s="14"/>
      <c r="AA91" s="14"/>
      <c r="AB91" s="14"/>
      <c r="AC91" s="14"/>
      <c r="AD91" s="14"/>
      <c r="AE91" s="18">
        <f t="shared" si="27"/>
        <v>1467</v>
      </c>
      <c r="AF91" s="24"/>
      <c r="AG91" s="19">
        <f t="shared" si="19"/>
        <v>0</v>
      </c>
    </row>
    <row r="92" spans="1:33" s="20" customFormat="1" ht="13.5">
      <c r="A92" s="52"/>
      <c r="B92" s="48" t="s">
        <v>247</v>
      </c>
      <c r="C92" s="49" t="s">
        <v>248</v>
      </c>
      <c r="D92" s="50"/>
      <c r="E92" s="51" t="s">
        <v>119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8">
        <f t="shared" si="26"/>
        <v>0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8">
        <f t="shared" si="27"/>
        <v>0</v>
      </c>
      <c r="AF92" s="24"/>
      <c r="AG92" s="19">
        <f t="shared" si="19"/>
        <v>0</v>
      </c>
    </row>
    <row r="93" spans="1:33" s="20" customFormat="1" ht="13.5">
      <c r="A93" s="52"/>
      <c r="B93" s="48" t="s">
        <v>249</v>
      </c>
      <c r="C93" s="49" t="s">
        <v>248</v>
      </c>
      <c r="D93" s="50" t="s">
        <v>103</v>
      </c>
      <c r="E93" s="22" t="s">
        <v>183</v>
      </c>
      <c r="F93" s="14"/>
      <c r="G93" s="14"/>
      <c r="H93" s="14">
        <v>81656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8">
        <f t="shared" si="26"/>
        <v>81656</v>
      </c>
      <c r="U93" s="14"/>
      <c r="V93" s="14"/>
      <c r="W93" s="14">
        <v>81656</v>
      </c>
      <c r="X93" s="14"/>
      <c r="Y93" s="14"/>
      <c r="Z93" s="14"/>
      <c r="AA93" s="14"/>
      <c r="AB93" s="14"/>
      <c r="AC93" s="14"/>
      <c r="AD93" s="14"/>
      <c r="AE93" s="18">
        <f t="shared" si="27"/>
        <v>81656</v>
      </c>
      <c r="AF93" s="24"/>
      <c r="AG93" s="19">
        <f t="shared" si="19"/>
        <v>0</v>
      </c>
    </row>
    <row r="94" spans="1:33" s="20" customFormat="1" ht="13.5">
      <c r="A94" s="52"/>
      <c r="B94" s="48" t="s">
        <v>249</v>
      </c>
      <c r="C94" s="49" t="s">
        <v>248</v>
      </c>
      <c r="D94" s="50" t="s">
        <v>103</v>
      </c>
      <c r="E94" s="14" t="s">
        <v>250</v>
      </c>
      <c r="F94" s="14"/>
      <c r="G94" s="14"/>
      <c r="H94" s="14">
        <v>12417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8">
        <f t="shared" si="26"/>
        <v>12417</v>
      </c>
      <c r="U94" s="14"/>
      <c r="V94" s="14"/>
      <c r="W94" s="14">
        <v>12417</v>
      </c>
      <c r="X94" s="14"/>
      <c r="Y94" s="14"/>
      <c r="Z94" s="14"/>
      <c r="AA94" s="14"/>
      <c r="AB94" s="14"/>
      <c r="AC94" s="14"/>
      <c r="AD94" s="14"/>
      <c r="AE94" s="18">
        <f t="shared" si="27"/>
        <v>12417</v>
      </c>
      <c r="AF94" s="24"/>
      <c r="AG94" s="19">
        <f t="shared" si="19"/>
        <v>0</v>
      </c>
    </row>
    <row r="95" spans="1:33" s="20" customFormat="1" ht="13.5">
      <c r="A95" s="52"/>
      <c r="B95" s="48" t="s">
        <v>249</v>
      </c>
      <c r="C95" s="49" t="s">
        <v>248</v>
      </c>
      <c r="D95" s="50" t="s">
        <v>103</v>
      </c>
      <c r="E95" s="51" t="s">
        <v>251</v>
      </c>
      <c r="F95" s="14">
        <v>265000</v>
      </c>
      <c r="G95" s="14">
        <v>85000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8">
        <f t="shared" si="26"/>
        <v>350000</v>
      </c>
      <c r="U95" s="14"/>
      <c r="V95" s="14"/>
      <c r="W95" s="20">
        <v>350000</v>
      </c>
      <c r="X95" s="14"/>
      <c r="Y95" s="14"/>
      <c r="Z95" s="14"/>
      <c r="AA95" s="14"/>
      <c r="AB95" s="14"/>
      <c r="AC95" s="14"/>
      <c r="AD95" s="14"/>
      <c r="AE95" s="18">
        <f t="shared" si="27"/>
        <v>350000</v>
      </c>
      <c r="AF95" s="24"/>
      <c r="AG95" s="19">
        <f t="shared" si="19"/>
        <v>0</v>
      </c>
    </row>
    <row r="96" spans="1:33" s="20" customFormat="1" ht="13.5">
      <c r="A96" s="52"/>
      <c r="B96" s="48" t="s">
        <v>249</v>
      </c>
      <c r="C96" s="49" t="s">
        <v>248</v>
      </c>
      <c r="D96" s="50" t="s">
        <v>103</v>
      </c>
      <c r="E96" s="51" t="s">
        <v>252</v>
      </c>
      <c r="F96" s="14"/>
      <c r="G96" s="14"/>
      <c r="H96" s="14"/>
      <c r="I96" s="14"/>
      <c r="J96" s="14"/>
      <c r="K96" s="14">
        <v>60682</v>
      </c>
      <c r="L96" s="14"/>
      <c r="M96" s="14"/>
      <c r="N96" s="14"/>
      <c r="O96" s="14"/>
      <c r="P96" s="14"/>
      <c r="Q96" s="14"/>
      <c r="R96" s="14"/>
      <c r="S96" s="14"/>
      <c r="T96" s="18">
        <f t="shared" si="26"/>
        <v>60682</v>
      </c>
      <c r="U96" s="14"/>
      <c r="V96" s="14"/>
      <c r="W96" s="14">
        <v>60682</v>
      </c>
      <c r="X96" s="14"/>
      <c r="Y96" s="14"/>
      <c r="Z96" s="14"/>
      <c r="AA96" s="14"/>
      <c r="AB96" s="14"/>
      <c r="AC96" s="14"/>
      <c r="AD96" s="14"/>
      <c r="AE96" s="18">
        <f t="shared" si="27"/>
        <v>60682</v>
      </c>
      <c r="AF96" s="24"/>
      <c r="AG96" s="19">
        <f t="shared" si="19"/>
        <v>0</v>
      </c>
    </row>
    <row r="97" spans="1:33" s="20" customFormat="1" ht="13.5">
      <c r="A97" s="52"/>
      <c r="B97" s="48" t="s">
        <v>253</v>
      </c>
      <c r="C97" s="49" t="s">
        <v>254</v>
      </c>
      <c r="D97" s="50" t="s">
        <v>103</v>
      </c>
      <c r="E97" s="51" t="s">
        <v>255</v>
      </c>
      <c r="F97" s="14"/>
      <c r="G97" s="14"/>
      <c r="H97" s="14">
        <v>-17795</v>
      </c>
      <c r="I97" s="14"/>
      <c r="J97" s="14"/>
      <c r="K97" s="14">
        <v>17795</v>
      </c>
      <c r="L97" s="14"/>
      <c r="M97" s="14"/>
      <c r="N97" s="14"/>
      <c r="O97" s="14"/>
      <c r="P97" s="14"/>
      <c r="Q97" s="14"/>
      <c r="R97" s="14"/>
      <c r="S97" s="14"/>
      <c r="T97" s="18">
        <f t="shared" si="26"/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8">
        <f t="shared" si="27"/>
        <v>0</v>
      </c>
      <c r="AF97" s="24"/>
      <c r="AG97" s="19">
        <f t="shared" si="19"/>
        <v>0</v>
      </c>
    </row>
    <row r="98" spans="1:33" s="20" customFormat="1" ht="13.5">
      <c r="A98" s="52"/>
      <c r="B98" s="48" t="s">
        <v>253</v>
      </c>
      <c r="C98" s="49" t="s">
        <v>254</v>
      </c>
      <c r="D98" s="31" t="s">
        <v>103</v>
      </c>
      <c r="E98" s="14" t="s">
        <v>229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8">
        <f t="shared" si="26"/>
        <v>0</v>
      </c>
      <c r="U98" s="14"/>
      <c r="V98" s="14">
        <v>-696</v>
      </c>
      <c r="W98" s="14"/>
      <c r="X98" s="14"/>
      <c r="Y98" s="14"/>
      <c r="Z98" s="14">
        <v>696</v>
      </c>
      <c r="AA98" s="14"/>
      <c r="AB98" s="14"/>
      <c r="AC98" s="14"/>
      <c r="AD98" s="14"/>
      <c r="AE98" s="18">
        <f t="shared" si="27"/>
        <v>0</v>
      </c>
      <c r="AF98" s="24"/>
      <c r="AG98" s="19">
        <f t="shared" si="19"/>
        <v>0</v>
      </c>
    </row>
    <row r="99" spans="1:33" s="20" customFormat="1" ht="13.5">
      <c r="A99" s="52"/>
      <c r="B99" s="22" t="s">
        <v>256</v>
      </c>
      <c r="C99" s="49" t="s">
        <v>257</v>
      </c>
      <c r="D99" s="50" t="s">
        <v>130</v>
      </c>
      <c r="E99" s="41" t="s">
        <v>258</v>
      </c>
      <c r="F99" s="14">
        <v>26786</v>
      </c>
      <c r="G99" s="14">
        <v>8383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8">
        <f t="shared" si="26"/>
        <v>35169</v>
      </c>
      <c r="U99" s="14"/>
      <c r="V99" s="14"/>
      <c r="W99" s="14"/>
      <c r="X99" s="14"/>
      <c r="Y99" s="14"/>
      <c r="Z99" s="14"/>
      <c r="AA99" s="14"/>
      <c r="AB99" s="14">
        <v>35169</v>
      </c>
      <c r="AC99" s="14"/>
      <c r="AD99" s="14"/>
      <c r="AE99" s="18">
        <f t="shared" si="27"/>
        <v>35169</v>
      </c>
      <c r="AF99" s="24"/>
      <c r="AG99" s="19">
        <f aca="true" t="shared" si="28" ref="AG99:AG130">AE99-T99</f>
        <v>0</v>
      </c>
    </row>
    <row r="100" spans="1:33" s="20" customFormat="1" ht="13.5">
      <c r="A100" s="52"/>
      <c r="B100" s="22" t="s">
        <v>259</v>
      </c>
      <c r="C100" s="49" t="s">
        <v>257</v>
      </c>
      <c r="D100" s="50" t="s">
        <v>84</v>
      </c>
      <c r="E100" s="34" t="s">
        <v>260</v>
      </c>
      <c r="F100" s="14">
        <v>207</v>
      </c>
      <c r="G100" s="14">
        <v>67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8">
        <f t="shared" si="26"/>
        <v>274</v>
      </c>
      <c r="U100" s="14"/>
      <c r="V100" s="14"/>
      <c r="W100" s="14"/>
      <c r="X100" s="14"/>
      <c r="Y100" s="14"/>
      <c r="Z100" s="14"/>
      <c r="AA100" s="14"/>
      <c r="AB100" s="14">
        <v>274</v>
      </c>
      <c r="AC100" s="14"/>
      <c r="AD100" s="14"/>
      <c r="AE100" s="18">
        <f t="shared" si="27"/>
        <v>274</v>
      </c>
      <c r="AF100" s="24"/>
      <c r="AG100" s="19">
        <f t="shared" si="28"/>
        <v>0</v>
      </c>
    </row>
    <row r="101" spans="1:33" s="20" customFormat="1" ht="13.5">
      <c r="A101" s="52"/>
      <c r="B101" s="48" t="s">
        <v>253</v>
      </c>
      <c r="C101" s="49" t="s">
        <v>261</v>
      </c>
      <c r="D101" s="50" t="s">
        <v>71</v>
      </c>
      <c r="E101" s="34" t="s">
        <v>262</v>
      </c>
      <c r="F101" s="14">
        <v>-115288</v>
      </c>
      <c r="G101" s="14">
        <v>-19676</v>
      </c>
      <c r="H101" s="14">
        <v>120492</v>
      </c>
      <c r="I101" s="14"/>
      <c r="J101" s="14"/>
      <c r="K101" s="14"/>
      <c r="L101" s="14"/>
      <c r="M101" s="14"/>
      <c r="N101" s="14"/>
      <c r="O101" s="14"/>
      <c r="P101" s="14">
        <v>14472</v>
      </c>
      <c r="Q101" s="14"/>
      <c r="R101" s="14"/>
      <c r="S101" s="14"/>
      <c r="T101" s="18">
        <f t="shared" si="26"/>
        <v>0</v>
      </c>
      <c r="U101" s="14"/>
      <c r="V101" s="14"/>
      <c r="W101" s="14">
        <v>-14472</v>
      </c>
      <c r="X101" s="14"/>
      <c r="Y101" s="14"/>
      <c r="Z101" s="14"/>
      <c r="AA101" s="14">
        <v>14472</v>
      </c>
      <c r="AB101" s="14"/>
      <c r="AC101" s="14"/>
      <c r="AD101" s="14"/>
      <c r="AE101" s="18">
        <f t="shared" si="27"/>
        <v>0</v>
      </c>
      <c r="AF101" s="24"/>
      <c r="AG101" s="19">
        <f t="shared" si="28"/>
        <v>0</v>
      </c>
    </row>
    <row r="102" spans="1:33" s="20" customFormat="1" ht="13.5">
      <c r="A102" s="52"/>
      <c r="B102" s="48" t="s">
        <v>253</v>
      </c>
      <c r="C102" s="49" t="s">
        <v>261</v>
      </c>
      <c r="D102" s="50" t="s">
        <v>71</v>
      </c>
      <c r="E102" s="34" t="s">
        <v>195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v>10000</v>
      </c>
      <c r="P102" s="14">
        <v>-10000</v>
      </c>
      <c r="Q102" s="14"/>
      <c r="R102" s="14"/>
      <c r="S102" s="14"/>
      <c r="T102" s="18">
        <f t="shared" si="26"/>
        <v>0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8">
        <f t="shared" si="27"/>
        <v>0</v>
      </c>
      <c r="AF102" s="24"/>
      <c r="AG102" s="19">
        <f t="shared" si="28"/>
        <v>0</v>
      </c>
    </row>
    <row r="103" spans="1:33" s="20" customFormat="1" ht="13.5">
      <c r="A103" s="52"/>
      <c r="B103" s="48" t="s">
        <v>263</v>
      </c>
      <c r="C103" s="49" t="s">
        <v>261</v>
      </c>
      <c r="D103" s="50" t="s">
        <v>71</v>
      </c>
      <c r="E103" s="22" t="s">
        <v>264</v>
      </c>
      <c r="F103" s="14">
        <v>90870</v>
      </c>
      <c r="G103" s="14">
        <v>22775</v>
      </c>
      <c r="H103" s="14"/>
      <c r="I103" s="14"/>
      <c r="J103" s="14"/>
      <c r="K103" s="14">
        <v>6308</v>
      </c>
      <c r="L103" s="14"/>
      <c r="M103" s="14"/>
      <c r="N103" s="14"/>
      <c r="O103" s="14"/>
      <c r="P103" s="14"/>
      <c r="Q103" s="14"/>
      <c r="R103" s="14"/>
      <c r="S103" s="14"/>
      <c r="T103" s="18">
        <f t="shared" si="26"/>
        <v>119953</v>
      </c>
      <c r="U103" s="14"/>
      <c r="V103" s="14"/>
      <c r="W103" s="14">
        <v>119953</v>
      </c>
      <c r="X103" s="14"/>
      <c r="Y103" s="14"/>
      <c r="Z103" s="14"/>
      <c r="AA103" s="14"/>
      <c r="AB103" s="14"/>
      <c r="AC103" s="14"/>
      <c r="AD103" s="14"/>
      <c r="AE103" s="18">
        <f t="shared" si="27"/>
        <v>119953</v>
      </c>
      <c r="AF103" s="24"/>
      <c r="AG103" s="19">
        <f t="shared" si="28"/>
        <v>0</v>
      </c>
    </row>
    <row r="104" spans="1:33" s="20" customFormat="1" ht="13.5">
      <c r="A104" s="52"/>
      <c r="B104" s="48" t="s">
        <v>263</v>
      </c>
      <c r="C104" s="49" t="s">
        <v>261</v>
      </c>
      <c r="D104" s="50" t="s">
        <v>71</v>
      </c>
      <c r="E104" s="34" t="s">
        <v>265</v>
      </c>
      <c r="F104" s="14"/>
      <c r="G104" s="14"/>
      <c r="H104" s="14">
        <v>1978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8">
        <f t="shared" si="26"/>
        <v>1978</v>
      </c>
      <c r="U104" s="14"/>
      <c r="V104" s="14"/>
      <c r="W104" s="14">
        <v>1978</v>
      </c>
      <c r="X104" s="14"/>
      <c r="Y104" s="14"/>
      <c r="Z104" s="14"/>
      <c r="AA104" s="14"/>
      <c r="AB104" s="14"/>
      <c r="AC104" s="14"/>
      <c r="AD104" s="14"/>
      <c r="AE104" s="18">
        <f t="shared" si="27"/>
        <v>1978</v>
      </c>
      <c r="AF104" s="24"/>
      <c r="AG104" s="19">
        <f t="shared" si="28"/>
        <v>0</v>
      </c>
    </row>
    <row r="105" spans="1:33" s="20" customFormat="1" ht="13.5">
      <c r="A105" s="52"/>
      <c r="B105" s="48" t="s">
        <v>263</v>
      </c>
      <c r="C105" s="49" t="s">
        <v>261</v>
      </c>
      <c r="D105" s="50" t="s">
        <v>71</v>
      </c>
      <c r="E105" s="34" t="s">
        <v>266</v>
      </c>
      <c r="F105" s="14">
        <v>131</v>
      </c>
      <c r="G105" s="14">
        <v>826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8">
        <f t="shared" si="26"/>
        <v>957</v>
      </c>
      <c r="U105" s="14"/>
      <c r="V105" s="14">
        <v>957</v>
      </c>
      <c r="W105" s="14"/>
      <c r="X105" s="14"/>
      <c r="Y105" s="14"/>
      <c r="Z105" s="14"/>
      <c r="AA105" s="14"/>
      <c r="AB105" s="14"/>
      <c r="AC105" s="14"/>
      <c r="AD105" s="14"/>
      <c r="AE105" s="18">
        <f t="shared" si="27"/>
        <v>957</v>
      </c>
      <c r="AF105" s="24"/>
      <c r="AG105" s="19">
        <f t="shared" si="28"/>
        <v>0</v>
      </c>
    </row>
    <row r="106" spans="1:33" s="20" customFormat="1" ht="13.5">
      <c r="A106" s="52"/>
      <c r="B106" s="48" t="s">
        <v>263</v>
      </c>
      <c r="C106" s="49" t="s">
        <v>261</v>
      </c>
      <c r="D106" s="50" t="s">
        <v>71</v>
      </c>
      <c r="E106" s="34" t="s">
        <v>267</v>
      </c>
      <c r="F106" s="14"/>
      <c r="G106" s="14"/>
      <c r="H106" s="14">
        <v>9790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8">
        <f t="shared" si="26"/>
        <v>9790</v>
      </c>
      <c r="U106" s="14"/>
      <c r="V106" s="14"/>
      <c r="W106" s="14">
        <v>9790</v>
      </c>
      <c r="X106" s="14"/>
      <c r="Y106" s="14"/>
      <c r="Z106" s="14"/>
      <c r="AA106" s="14"/>
      <c r="AB106" s="14"/>
      <c r="AC106" s="14"/>
      <c r="AD106" s="14"/>
      <c r="AE106" s="18">
        <f t="shared" si="27"/>
        <v>9790</v>
      </c>
      <c r="AF106" s="24"/>
      <c r="AG106" s="19">
        <f t="shared" si="28"/>
        <v>0</v>
      </c>
    </row>
    <row r="107" spans="1:33" s="20" customFormat="1" ht="13.5">
      <c r="A107" s="52"/>
      <c r="B107" s="22" t="s">
        <v>268</v>
      </c>
      <c r="C107" s="49" t="s">
        <v>269</v>
      </c>
      <c r="D107" s="50" t="s">
        <v>130</v>
      </c>
      <c r="E107" s="34" t="s">
        <v>270</v>
      </c>
      <c r="F107" s="14">
        <v>97900</v>
      </c>
      <c r="G107" s="14">
        <v>31328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8">
        <f t="shared" si="26"/>
        <v>129228</v>
      </c>
      <c r="U107" s="14"/>
      <c r="V107" s="14"/>
      <c r="W107" s="14"/>
      <c r="X107" s="14"/>
      <c r="Y107" s="14"/>
      <c r="Z107" s="14"/>
      <c r="AA107" s="14"/>
      <c r="AB107" s="14">
        <v>129228</v>
      </c>
      <c r="AC107" s="14"/>
      <c r="AD107" s="14"/>
      <c r="AE107" s="18">
        <f t="shared" si="27"/>
        <v>129228</v>
      </c>
      <c r="AF107" s="24"/>
      <c r="AG107" s="19">
        <f t="shared" si="28"/>
        <v>0</v>
      </c>
    </row>
    <row r="108" spans="1:33" s="20" customFormat="1" ht="13.5">
      <c r="A108" s="52"/>
      <c r="B108" s="22" t="s">
        <v>271</v>
      </c>
      <c r="C108" s="49" t="s">
        <v>269</v>
      </c>
      <c r="D108" s="50" t="s">
        <v>99</v>
      </c>
      <c r="E108" s="34" t="s">
        <v>211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v>4989</v>
      </c>
      <c r="Q108" s="14"/>
      <c r="R108" s="14"/>
      <c r="S108" s="14"/>
      <c r="T108" s="18">
        <f t="shared" si="26"/>
        <v>4989</v>
      </c>
      <c r="U108" s="14"/>
      <c r="V108" s="14"/>
      <c r="W108" s="14"/>
      <c r="X108" s="14"/>
      <c r="Y108" s="14">
        <v>4989</v>
      </c>
      <c r="Z108" s="14"/>
      <c r="AA108" s="14"/>
      <c r="AB108" s="14"/>
      <c r="AC108" s="14"/>
      <c r="AD108" s="14"/>
      <c r="AE108" s="18">
        <f t="shared" si="27"/>
        <v>4989</v>
      </c>
      <c r="AF108" s="24"/>
      <c r="AG108" s="19">
        <f t="shared" si="28"/>
        <v>0</v>
      </c>
    </row>
    <row r="109" spans="1:33" s="20" customFormat="1" ht="13.5">
      <c r="A109" s="52"/>
      <c r="B109" s="22" t="s">
        <v>272</v>
      </c>
      <c r="C109" s="49" t="s">
        <v>273</v>
      </c>
      <c r="D109" s="50" t="s">
        <v>99</v>
      </c>
      <c r="E109" s="34" t="s">
        <v>205</v>
      </c>
      <c r="F109" s="14">
        <v>1940</v>
      </c>
      <c r="G109" s="14">
        <v>621</v>
      </c>
      <c r="H109" s="14">
        <v>663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8">
        <f t="shared" si="26"/>
        <v>3224</v>
      </c>
      <c r="U109" s="14"/>
      <c r="V109" s="14"/>
      <c r="W109" s="14"/>
      <c r="X109" s="14">
        <v>3224</v>
      </c>
      <c r="Y109" s="14"/>
      <c r="Z109" s="14"/>
      <c r="AA109" s="14"/>
      <c r="AB109" s="14"/>
      <c r="AC109" s="14"/>
      <c r="AD109" s="14"/>
      <c r="AE109" s="18">
        <f t="shared" si="27"/>
        <v>3224</v>
      </c>
      <c r="AF109" s="24"/>
      <c r="AG109" s="19">
        <f t="shared" si="28"/>
        <v>0</v>
      </c>
    </row>
    <row r="110" spans="1:33" s="20" customFormat="1" ht="13.5">
      <c r="A110" s="52"/>
      <c r="B110" s="22" t="s">
        <v>274</v>
      </c>
      <c r="C110" s="49" t="s">
        <v>275</v>
      </c>
      <c r="D110" s="50" t="s">
        <v>99</v>
      </c>
      <c r="E110" s="34" t="s">
        <v>276</v>
      </c>
      <c r="F110" s="14">
        <v>16104</v>
      </c>
      <c r="G110" s="14">
        <v>3584</v>
      </c>
      <c r="H110" s="14">
        <v>16219</v>
      </c>
      <c r="I110" s="14"/>
      <c r="J110" s="14"/>
      <c r="K110" s="14"/>
      <c r="L110" s="14"/>
      <c r="M110" s="14"/>
      <c r="N110" s="14"/>
      <c r="O110" s="14"/>
      <c r="P110" s="14">
        <v>45913</v>
      </c>
      <c r="Q110" s="14"/>
      <c r="R110" s="14"/>
      <c r="S110" s="14"/>
      <c r="T110" s="18">
        <f t="shared" si="26"/>
        <v>81820</v>
      </c>
      <c r="U110" s="14"/>
      <c r="V110" s="14"/>
      <c r="W110" s="14"/>
      <c r="X110" s="14">
        <v>35907</v>
      </c>
      <c r="Y110" s="14">
        <v>45913</v>
      </c>
      <c r="Z110" s="14"/>
      <c r="AA110" s="14"/>
      <c r="AB110" s="14"/>
      <c r="AC110" s="14"/>
      <c r="AD110" s="14"/>
      <c r="AE110" s="18">
        <f t="shared" si="27"/>
        <v>81820</v>
      </c>
      <c r="AF110" s="24"/>
      <c r="AG110" s="19">
        <f t="shared" si="28"/>
        <v>0</v>
      </c>
    </row>
    <row r="111" spans="1:33" s="20" customFormat="1" ht="13.5">
      <c r="A111" s="52"/>
      <c r="B111" s="22" t="s">
        <v>277</v>
      </c>
      <c r="C111" s="49" t="s">
        <v>278</v>
      </c>
      <c r="D111" s="50" t="s">
        <v>99</v>
      </c>
      <c r="E111" s="34" t="s">
        <v>279</v>
      </c>
      <c r="F111" s="14"/>
      <c r="G111" s="14"/>
      <c r="H111" s="14">
        <v>44000</v>
      </c>
      <c r="I111" s="14"/>
      <c r="J111" s="14"/>
      <c r="K111" s="14"/>
      <c r="L111" s="14"/>
      <c r="M111" s="14"/>
      <c r="N111" s="14"/>
      <c r="O111" s="14"/>
      <c r="P111" s="14">
        <v>43500</v>
      </c>
      <c r="Q111" s="14"/>
      <c r="R111" s="14"/>
      <c r="S111" s="14"/>
      <c r="T111" s="18">
        <f t="shared" si="26"/>
        <v>87500</v>
      </c>
      <c r="U111" s="14"/>
      <c r="V111" s="14"/>
      <c r="W111" s="14"/>
      <c r="X111" s="14"/>
      <c r="Y111" s="14"/>
      <c r="Z111" s="14"/>
      <c r="AA111" s="14"/>
      <c r="AB111" s="14">
        <v>87500</v>
      </c>
      <c r="AC111" s="14"/>
      <c r="AD111" s="14"/>
      <c r="AE111" s="18">
        <f t="shared" si="27"/>
        <v>87500</v>
      </c>
      <c r="AF111" s="24"/>
      <c r="AG111" s="19">
        <f t="shared" si="28"/>
        <v>0</v>
      </c>
    </row>
    <row r="112" spans="1:33" s="20" customFormat="1" ht="13.5">
      <c r="A112" s="52"/>
      <c r="B112" s="22" t="s">
        <v>280</v>
      </c>
      <c r="C112" s="49" t="s">
        <v>278</v>
      </c>
      <c r="D112" s="50" t="s">
        <v>103</v>
      </c>
      <c r="E112" s="34" t="s">
        <v>281</v>
      </c>
      <c r="F112" s="14"/>
      <c r="G112" s="14"/>
      <c r="H112" s="14">
        <v>33524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8">
        <f t="shared" si="26"/>
        <v>33524</v>
      </c>
      <c r="U112" s="14"/>
      <c r="V112" s="14"/>
      <c r="W112" s="14">
        <v>33524</v>
      </c>
      <c r="X112" s="14"/>
      <c r="Y112" s="14"/>
      <c r="Z112" s="14"/>
      <c r="AA112" s="14"/>
      <c r="AB112" s="14"/>
      <c r="AC112" s="14"/>
      <c r="AD112" s="14"/>
      <c r="AE112" s="18">
        <f t="shared" si="27"/>
        <v>33524</v>
      </c>
      <c r="AF112" s="24"/>
      <c r="AG112" s="19">
        <f t="shared" si="28"/>
        <v>0</v>
      </c>
    </row>
    <row r="113" spans="1:33" s="20" customFormat="1" ht="13.5">
      <c r="A113" s="52"/>
      <c r="B113" s="22" t="s">
        <v>280</v>
      </c>
      <c r="C113" s="49" t="s">
        <v>278</v>
      </c>
      <c r="D113" s="50" t="s">
        <v>103</v>
      </c>
      <c r="E113" s="34" t="s">
        <v>282</v>
      </c>
      <c r="F113" s="14">
        <v>409000</v>
      </c>
      <c r="G113" s="14">
        <v>131000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8">
        <f t="shared" si="26"/>
        <v>540000</v>
      </c>
      <c r="U113" s="14"/>
      <c r="V113" s="14"/>
      <c r="W113" s="14">
        <v>540000</v>
      </c>
      <c r="X113" s="14"/>
      <c r="Y113" s="14"/>
      <c r="Z113" s="14"/>
      <c r="AA113" s="14"/>
      <c r="AB113" s="14"/>
      <c r="AC113" s="14"/>
      <c r="AD113" s="14"/>
      <c r="AE113" s="18">
        <f t="shared" si="27"/>
        <v>540000</v>
      </c>
      <c r="AF113" s="24"/>
      <c r="AG113" s="19">
        <f t="shared" si="28"/>
        <v>0</v>
      </c>
    </row>
    <row r="114" spans="1:33" s="20" customFormat="1" ht="13.5">
      <c r="A114" s="52"/>
      <c r="B114" s="22" t="s">
        <v>280</v>
      </c>
      <c r="C114" s="49" t="s">
        <v>278</v>
      </c>
      <c r="D114" s="50" t="s">
        <v>103</v>
      </c>
      <c r="E114" s="34" t="s">
        <v>283</v>
      </c>
      <c r="F114" s="14">
        <v>1512</v>
      </c>
      <c r="G114" s="14">
        <v>385</v>
      </c>
      <c r="H114" s="14">
        <v>1887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8">
        <f t="shared" si="26"/>
        <v>3784</v>
      </c>
      <c r="U114" s="14"/>
      <c r="V114" s="14"/>
      <c r="W114" s="14">
        <v>3784</v>
      </c>
      <c r="X114" s="14"/>
      <c r="Y114" s="14"/>
      <c r="Z114" s="14"/>
      <c r="AA114" s="14"/>
      <c r="AB114" s="14"/>
      <c r="AC114" s="14"/>
      <c r="AD114" s="14"/>
      <c r="AE114" s="18">
        <f t="shared" si="27"/>
        <v>3784</v>
      </c>
      <c r="AF114" s="24"/>
      <c r="AG114" s="19">
        <f t="shared" si="28"/>
        <v>0</v>
      </c>
    </row>
    <row r="115" spans="1:33" s="20" customFormat="1" ht="13.5">
      <c r="A115" s="52"/>
      <c r="B115" s="22" t="s">
        <v>280</v>
      </c>
      <c r="C115" s="49" t="s">
        <v>278</v>
      </c>
      <c r="D115" s="50" t="s">
        <v>103</v>
      </c>
      <c r="E115" s="34" t="s">
        <v>284</v>
      </c>
      <c r="F115" s="14"/>
      <c r="G115" s="14"/>
      <c r="H115" s="14">
        <v>41838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8">
        <f t="shared" si="26"/>
        <v>41838</v>
      </c>
      <c r="U115" s="14"/>
      <c r="V115" s="14"/>
      <c r="W115" s="14">
        <v>41838</v>
      </c>
      <c r="X115" s="14"/>
      <c r="Y115" s="14"/>
      <c r="Z115" s="14"/>
      <c r="AA115" s="14"/>
      <c r="AB115" s="14"/>
      <c r="AC115" s="14"/>
      <c r="AD115" s="14"/>
      <c r="AE115" s="18">
        <f t="shared" si="27"/>
        <v>41838</v>
      </c>
      <c r="AF115" s="24"/>
      <c r="AG115" s="19">
        <f t="shared" si="28"/>
        <v>0</v>
      </c>
    </row>
    <row r="116" spans="1:33" s="20" customFormat="1" ht="13.5">
      <c r="A116" s="52"/>
      <c r="B116" s="22" t="s">
        <v>280</v>
      </c>
      <c r="C116" s="49" t="s">
        <v>278</v>
      </c>
      <c r="D116" s="50" t="s">
        <v>103</v>
      </c>
      <c r="E116" s="34" t="s">
        <v>285</v>
      </c>
      <c r="F116" s="14"/>
      <c r="G116" s="14"/>
      <c r="H116" s="14">
        <v>89064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8">
        <f t="shared" si="26"/>
        <v>89064</v>
      </c>
      <c r="U116" s="14"/>
      <c r="V116" s="14">
        <v>89064</v>
      </c>
      <c r="W116" s="14"/>
      <c r="X116" s="14"/>
      <c r="Y116" s="14"/>
      <c r="Z116" s="14"/>
      <c r="AA116" s="14"/>
      <c r="AB116" s="14"/>
      <c r="AC116" s="14"/>
      <c r="AD116" s="14"/>
      <c r="AE116" s="18">
        <f t="shared" si="27"/>
        <v>89064</v>
      </c>
      <c r="AF116" s="24"/>
      <c r="AG116" s="19">
        <f t="shared" si="28"/>
        <v>0</v>
      </c>
    </row>
    <row r="117" spans="1:33" s="20" customFormat="1" ht="13.5">
      <c r="A117" s="52"/>
      <c r="B117" s="22" t="s">
        <v>280</v>
      </c>
      <c r="C117" s="49" t="s">
        <v>278</v>
      </c>
      <c r="D117" s="50" t="s">
        <v>103</v>
      </c>
      <c r="E117" s="34" t="s">
        <v>286</v>
      </c>
      <c r="F117" s="14"/>
      <c r="G117" s="14">
        <v>1882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>
        <f t="shared" si="26"/>
        <v>1882</v>
      </c>
      <c r="U117" s="14"/>
      <c r="V117" s="14">
        <v>1882</v>
      </c>
      <c r="W117" s="14"/>
      <c r="X117" s="14"/>
      <c r="Y117" s="14"/>
      <c r="Z117" s="14"/>
      <c r="AA117" s="14"/>
      <c r="AB117" s="14"/>
      <c r="AC117" s="14"/>
      <c r="AD117" s="14"/>
      <c r="AE117" s="18">
        <f t="shared" si="27"/>
        <v>1882</v>
      </c>
      <c r="AF117" s="24"/>
      <c r="AG117" s="19">
        <f t="shared" si="28"/>
        <v>0</v>
      </c>
    </row>
    <row r="118" spans="1:33" s="20" customFormat="1" ht="13.5">
      <c r="A118" s="52"/>
      <c r="B118" s="22" t="s">
        <v>280</v>
      </c>
      <c r="C118" s="49" t="s">
        <v>278</v>
      </c>
      <c r="D118" s="50" t="s">
        <v>103</v>
      </c>
      <c r="E118" s="34" t="s">
        <v>287</v>
      </c>
      <c r="F118" s="14"/>
      <c r="G118" s="14">
        <v>10636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8">
        <f t="shared" si="26"/>
        <v>10636</v>
      </c>
      <c r="U118" s="14"/>
      <c r="V118" s="14">
        <v>10636</v>
      </c>
      <c r="W118" s="14"/>
      <c r="X118" s="14"/>
      <c r="Y118" s="14"/>
      <c r="Z118" s="14"/>
      <c r="AA118" s="14"/>
      <c r="AB118" s="14"/>
      <c r="AC118" s="14"/>
      <c r="AD118" s="14"/>
      <c r="AE118" s="18">
        <f t="shared" si="27"/>
        <v>10636</v>
      </c>
      <c r="AF118" s="24"/>
      <c r="AG118" s="19">
        <f t="shared" si="28"/>
        <v>0</v>
      </c>
    </row>
    <row r="119" spans="1:33" s="20" customFormat="1" ht="13.5">
      <c r="A119" s="52"/>
      <c r="B119" s="22" t="s">
        <v>280</v>
      </c>
      <c r="C119" s="49" t="s">
        <v>278</v>
      </c>
      <c r="D119" s="50" t="s">
        <v>103</v>
      </c>
      <c r="E119" s="34" t="s">
        <v>288</v>
      </c>
      <c r="F119" s="14"/>
      <c r="G119" s="14">
        <v>1508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8">
        <f t="shared" si="26"/>
        <v>1508</v>
      </c>
      <c r="U119" s="14"/>
      <c r="V119" s="14">
        <v>1508</v>
      </c>
      <c r="W119" s="14"/>
      <c r="X119" s="14"/>
      <c r="Y119" s="14"/>
      <c r="Z119" s="14"/>
      <c r="AA119" s="14"/>
      <c r="AB119" s="14"/>
      <c r="AC119" s="14"/>
      <c r="AD119" s="14"/>
      <c r="AE119" s="18">
        <f t="shared" si="27"/>
        <v>1508</v>
      </c>
      <c r="AF119" s="24"/>
      <c r="AG119" s="19">
        <f t="shared" si="28"/>
        <v>0</v>
      </c>
    </row>
    <row r="120" spans="1:33" s="20" customFormat="1" ht="13.5">
      <c r="A120" s="52"/>
      <c r="B120" s="22" t="s">
        <v>280</v>
      </c>
      <c r="C120" s="49" t="s">
        <v>278</v>
      </c>
      <c r="D120" s="50" t="s">
        <v>103</v>
      </c>
      <c r="E120" s="34" t="s">
        <v>289</v>
      </c>
      <c r="F120" s="14"/>
      <c r="G120" s="14">
        <v>2734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8">
        <f t="shared" si="26"/>
        <v>2734</v>
      </c>
      <c r="U120" s="14"/>
      <c r="V120" s="14">
        <v>2734</v>
      </c>
      <c r="W120" s="14"/>
      <c r="X120" s="14"/>
      <c r="Y120" s="14"/>
      <c r="Z120" s="14"/>
      <c r="AA120" s="14"/>
      <c r="AB120" s="14"/>
      <c r="AC120" s="14"/>
      <c r="AD120" s="14"/>
      <c r="AE120" s="18">
        <f t="shared" si="27"/>
        <v>2734</v>
      </c>
      <c r="AF120" s="24"/>
      <c r="AG120" s="19">
        <f t="shared" si="28"/>
        <v>0</v>
      </c>
    </row>
    <row r="121" spans="1:33" s="20" customFormat="1" ht="13.5">
      <c r="A121" s="52"/>
      <c r="B121" s="22" t="s">
        <v>280</v>
      </c>
      <c r="C121" s="49" t="s">
        <v>278</v>
      </c>
      <c r="D121" s="50" t="s">
        <v>103</v>
      </c>
      <c r="E121" s="34" t="s">
        <v>252</v>
      </c>
      <c r="F121" s="14"/>
      <c r="G121" s="14"/>
      <c r="H121" s="14"/>
      <c r="I121" s="14"/>
      <c r="J121" s="14"/>
      <c r="K121" s="14">
        <v>24010</v>
      </c>
      <c r="L121" s="14"/>
      <c r="M121" s="14"/>
      <c r="N121" s="14"/>
      <c r="O121" s="14"/>
      <c r="P121" s="14"/>
      <c r="Q121" s="14"/>
      <c r="R121" s="14"/>
      <c r="S121" s="14"/>
      <c r="T121" s="18">
        <f t="shared" si="26"/>
        <v>24010</v>
      </c>
      <c r="U121" s="14"/>
      <c r="V121" s="14"/>
      <c r="W121" s="14">
        <v>24010</v>
      </c>
      <c r="X121" s="14"/>
      <c r="Y121" s="14"/>
      <c r="Z121" s="14"/>
      <c r="AA121" s="14"/>
      <c r="AB121" s="14"/>
      <c r="AC121" s="14"/>
      <c r="AD121" s="14"/>
      <c r="AE121" s="18">
        <f t="shared" si="27"/>
        <v>24010</v>
      </c>
      <c r="AF121" s="24"/>
      <c r="AG121" s="19">
        <f t="shared" si="28"/>
        <v>0</v>
      </c>
    </row>
    <row r="122" spans="1:33" s="20" customFormat="1" ht="13.5">
      <c r="A122" s="52"/>
      <c r="B122" s="495" t="s">
        <v>290</v>
      </c>
      <c r="C122" s="496"/>
      <c r="D122" s="496"/>
      <c r="E122" s="497"/>
      <c r="F122" s="24">
        <f aca="true" t="shared" si="29" ref="F122:AE122">SUM(F86:F121)</f>
        <v>887069</v>
      </c>
      <c r="G122" s="24">
        <f t="shared" si="29"/>
        <v>305401</v>
      </c>
      <c r="H122" s="24">
        <f t="shared" si="29"/>
        <v>604597</v>
      </c>
      <c r="I122" s="24">
        <f t="shared" si="29"/>
        <v>0</v>
      </c>
      <c r="J122" s="24">
        <f t="shared" si="29"/>
        <v>0</v>
      </c>
      <c r="K122" s="24">
        <f t="shared" si="29"/>
        <v>108795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10000</v>
      </c>
      <c r="P122" s="24">
        <f t="shared" si="29"/>
        <v>98874</v>
      </c>
      <c r="Q122" s="24">
        <f t="shared" si="29"/>
        <v>0</v>
      </c>
      <c r="R122" s="24">
        <f t="shared" si="29"/>
        <v>0</v>
      </c>
      <c r="S122" s="24">
        <f t="shared" si="29"/>
        <v>0</v>
      </c>
      <c r="T122" s="24">
        <f t="shared" si="29"/>
        <v>2014736</v>
      </c>
      <c r="U122" s="24">
        <f t="shared" si="29"/>
        <v>0</v>
      </c>
      <c r="V122" s="24">
        <f t="shared" si="29"/>
        <v>162152</v>
      </c>
      <c r="W122" s="24">
        <f t="shared" si="29"/>
        <v>1423374</v>
      </c>
      <c r="X122" s="24">
        <f t="shared" si="29"/>
        <v>39131</v>
      </c>
      <c r="Y122" s="24">
        <f t="shared" si="29"/>
        <v>50902</v>
      </c>
      <c r="Z122" s="24">
        <f t="shared" si="29"/>
        <v>696</v>
      </c>
      <c r="AA122" s="24">
        <f t="shared" si="29"/>
        <v>14472</v>
      </c>
      <c r="AB122" s="24">
        <f t="shared" si="29"/>
        <v>324009</v>
      </c>
      <c r="AC122" s="24">
        <f t="shared" si="29"/>
        <v>0</v>
      </c>
      <c r="AD122" s="24">
        <f t="shared" si="29"/>
        <v>0</v>
      </c>
      <c r="AE122" s="24">
        <f t="shared" si="29"/>
        <v>2014736</v>
      </c>
      <c r="AF122" s="24">
        <f>SUM(AF86:AF100)</f>
        <v>0</v>
      </c>
      <c r="AG122" s="19">
        <f t="shared" si="28"/>
        <v>0</v>
      </c>
    </row>
    <row r="123" spans="1:33" s="20" customFormat="1" ht="13.5">
      <c r="A123" s="52"/>
      <c r="B123" s="22" t="s">
        <v>291</v>
      </c>
      <c r="C123" s="49" t="s">
        <v>292</v>
      </c>
      <c r="D123" s="50" t="s">
        <v>130</v>
      </c>
      <c r="E123" s="51" t="s">
        <v>293</v>
      </c>
      <c r="F123" s="14">
        <v>376973</v>
      </c>
      <c r="G123" s="14">
        <v>120632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8">
        <f aca="true" t="shared" si="30" ref="T123:T154">SUM(F123:S123)</f>
        <v>497605</v>
      </c>
      <c r="U123" s="14"/>
      <c r="V123" s="14"/>
      <c r="W123" s="14"/>
      <c r="X123" s="14"/>
      <c r="Y123" s="14"/>
      <c r="Z123" s="14"/>
      <c r="AA123" s="14"/>
      <c r="AB123" s="14">
        <v>497605</v>
      </c>
      <c r="AC123" s="14"/>
      <c r="AD123" s="14"/>
      <c r="AE123" s="18">
        <f aca="true" t="shared" si="31" ref="AE123:AE154">SUM(U123:AD123)</f>
        <v>497605</v>
      </c>
      <c r="AF123" s="24"/>
      <c r="AG123" s="19">
        <f t="shared" si="28"/>
        <v>0</v>
      </c>
    </row>
    <row r="124" spans="1:33" s="20" customFormat="1" ht="13.5">
      <c r="A124" s="52"/>
      <c r="B124" s="22" t="s">
        <v>294</v>
      </c>
      <c r="C124" s="49" t="s">
        <v>295</v>
      </c>
      <c r="D124" s="50" t="s">
        <v>103</v>
      </c>
      <c r="E124" s="22" t="s">
        <v>183</v>
      </c>
      <c r="F124" s="14">
        <v>26366</v>
      </c>
      <c r="G124" s="14">
        <v>8450</v>
      </c>
      <c r="H124" s="14"/>
      <c r="I124" s="14"/>
      <c r="J124" s="14"/>
      <c r="K124" s="14">
        <v>24</v>
      </c>
      <c r="L124" s="14"/>
      <c r="M124" s="14"/>
      <c r="N124" s="14"/>
      <c r="O124" s="14"/>
      <c r="P124" s="14"/>
      <c r="Q124" s="14"/>
      <c r="R124" s="14"/>
      <c r="S124" s="14"/>
      <c r="T124" s="18">
        <f t="shared" si="30"/>
        <v>34840</v>
      </c>
      <c r="U124" s="14"/>
      <c r="V124" s="14"/>
      <c r="W124" s="14">
        <v>34840</v>
      </c>
      <c r="X124" s="14"/>
      <c r="Y124" s="14"/>
      <c r="Z124" s="14"/>
      <c r="AA124" s="14"/>
      <c r="AB124" s="14"/>
      <c r="AC124" s="14"/>
      <c r="AD124" s="14"/>
      <c r="AE124" s="18">
        <f t="shared" si="31"/>
        <v>34840</v>
      </c>
      <c r="AF124" s="24"/>
      <c r="AG124" s="19">
        <f t="shared" si="28"/>
        <v>0</v>
      </c>
    </row>
    <row r="125" spans="1:33" s="20" customFormat="1" ht="13.5">
      <c r="A125" s="52"/>
      <c r="B125" s="22" t="s">
        <v>294</v>
      </c>
      <c r="C125" s="49" t="s">
        <v>295</v>
      </c>
      <c r="D125" s="50" t="s">
        <v>103</v>
      </c>
      <c r="E125" s="51" t="s">
        <v>296</v>
      </c>
      <c r="F125" s="14">
        <v>3121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8">
        <f t="shared" si="30"/>
        <v>3121</v>
      </c>
      <c r="U125" s="14"/>
      <c r="V125" s="14"/>
      <c r="W125" s="14">
        <v>3121</v>
      </c>
      <c r="X125" s="14"/>
      <c r="Y125" s="14"/>
      <c r="Z125" s="14"/>
      <c r="AA125" s="14"/>
      <c r="AB125" s="14"/>
      <c r="AC125" s="14"/>
      <c r="AD125" s="14"/>
      <c r="AE125" s="18">
        <f t="shared" si="31"/>
        <v>3121</v>
      </c>
      <c r="AF125" s="24"/>
      <c r="AG125" s="19">
        <f t="shared" si="28"/>
        <v>0</v>
      </c>
    </row>
    <row r="126" spans="1:33" s="20" customFormat="1" ht="13.5">
      <c r="A126" s="52"/>
      <c r="B126" s="22" t="s">
        <v>294</v>
      </c>
      <c r="C126" s="49" t="s">
        <v>295</v>
      </c>
      <c r="D126" s="50" t="s">
        <v>103</v>
      </c>
      <c r="E126" s="51" t="s">
        <v>284</v>
      </c>
      <c r="F126" s="14"/>
      <c r="G126" s="14"/>
      <c r="H126" s="14">
        <v>9913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8">
        <f t="shared" si="30"/>
        <v>9913</v>
      </c>
      <c r="U126" s="14"/>
      <c r="V126" s="14"/>
      <c r="W126" s="14">
        <v>9913</v>
      </c>
      <c r="X126" s="14"/>
      <c r="Y126" s="14"/>
      <c r="Z126" s="14"/>
      <c r="AA126" s="14"/>
      <c r="AB126" s="14"/>
      <c r="AC126" s="14"/>
      <c r="AD126" s="14"/>
      <c r="AE126" s="18">
        <f t="shared" si="31"/>
        <v>9913</v>
      </c>
      <c r="AF126" s="24"/>
      <c r="AG126" s="19">
        <f t="shared" si="28"/>
        <v>0</v>
      </c>
    </row>
    <row r="127" spans="1:33" s="20" customFormat="1" ht="13.5">
      <c r="A127" s="52"/>
      <c r="B127" s="22" t="s">
        <v>294</v>
      </c>
      <c r="C127" s="49" t="s">
        <v>295</v>
      </c>
      <c r="D127" s="50" t="s">
        <v>103</v>
      </c>
      <c r="E127" s="51" t="s">
        <v>297</v>
      </c>
      <c r="F127" s="14"/>
      <c r="G127" s="14"/>
      <c r="H127" s="14">
        <v>2700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8">
        <f t="shared" si="30"/>
        <v>2700</v>
      </c>
      <c r="U127" s="14"/>
      <c r="V127" s="14"/>
      <c r="W127" s="14">
        <v>2700</v>
      </c>
      <c r="X127" s="14"/>
      <c r="Y127" s="14"/>
      <c r="Z127" s="14"/>
      <c r="AA127" s="14"/>
      <c r="AB127" s="14"/>
      <c r="AC127" s="14"/>
      <c r="AD127" s="14"/>
      <c r="AE127" s="18">
        <f t="shared" si="31"/>
        <v>2700</v>
      </c>
      <c r="AF127" s="24"/>
      <c r="AG127" s="19">
        <f t="shared" si="28"/>
        <v>0</v>
      </c>
    </row>
    <row r="128" spans="1:33" s="20" customFormat="1" ht="13.5">
      <c r="A128" s="52"/>
      <c r="B128" s="22" t="s">
        <v>294</v>
      </c>
      <c r="C128" s="49" t="s">
        <v>295</v>
      </c>
      <c r="D128" s="50" t="s">
        <v>103</v>
      </c>
      <c r="E128" s="51" t="s">
        <v>298</v>
      </c>
      <c r="F128" s="14"/>
      <c r="G128" s="14"/>
      <c r="H128" s="14">
        <v>461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8">
        <f t="shared" si="30"/>
        <v>461</v>
      </c>
      <c r="U128" s="14"/>
      <c r="V128" s="14"/>
      <c r="W128" s="14">
        <v>461</v>
      </c>
      <c r="X128" s="14"/>
      <c r="Y128" s="14"/>
      <c r="Z128" s="14"/>
      <c r="AA128" s="14"/>
      <c r="AB128" s="14"/>
      <c r="AC128" s="14"/>
      <c r="AD128" s="14"/>
      <c r="AE128" s="18">
        <f t="shared" si="31"/>
        <v>461</v>
      </c>
      <c r="AF128" s="24"/>
      <c r="AG128" s="19">
        <f t="shared" si="28"/>
        <v>0</v>
      </c>
    </row>
    <row r="129" spans="1:33" s="20" customFormat="1" ht="13.5">
      <c r="A129" s="52"/>
      <c r="B129" s="22" t="s">
        <v>294</v>
      </c>
      <c r="C129" s="49" t="s">
        <v>295</v>
      </c>
      <c r="D129" s="50" t="s">
        <v>103</v>
      </c>
      <c r="E129" s="51" t="s">
        <v>299</v>
      </c>
      <c r="F129" s="14">
        <v>113600</v>
      </c>
      <c r="G129" s="14">
        <v>36400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8">
        <f t="shared" si="30"/>
        <v>150000</v>
      </c>
      <c r="U129" s="14"/>
      <c r="V129" s="14"/>
      <c r="W129" s="14">
        <v>150000</v>
      </c>
      <c r="X129" s="14"/>
      <c r="Y129" s="14"/>
      <c r="Z129" s="14"/>
      <c r="AA129" s="14"/>
      <c r="AB129" s="14"/>
      <c r="AC129" s="14"/>
      <c r="AD129" s="14"/>
      <c r="AE129" s="18">
        <f t="shared" si="31"/>
        <v>150000</v>
      </c>
      <c r="AF129" s="24"/>
      <c r="AG129" s="19">
        <f t="shared" si="28"/>
        <v>0</v>
      </c>
    </row>
    <row r="130" spans="1:33" s="20" customFormat="1" ht="13.5">
      <c r="A130" s="52"/>
      <c r="B130" s="22" t="s">
        <v>294</v>
      </c>
      <c r="C130" s="49" t="s">
        <v>295</v>
      </c>
      <c r="D130" s="50" t="s">
        <v>103</v>
      </c>
      <c r="E130" s="34" t="s">
        <v>285</v>
      </c>
      <c r="F130" s="14"/>
      <c r="G130" s="14"/>
      <c r="H130" s="14">
        <v>3851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8">
        <f t="shared" si="30"/>
        <v>3851</v>
      </c>
      <c r="U130" s="14"/>
      <c r="V130" s="14">
        <v>3851</v>
      </c>
      <c r="W130" s="14"/>
      <c r="X130" s="14"/>
      <c r="Y130" s="14"/>
      <c r="Z130" s="14"/>
      <c r="AA130" s="14"/>
      <c r="AB130" s="14"/>
      <c r="AC130" s="14"/>
      <c r="AD130" s="14"/>
      <c r="AE130" s="18">
        <f t="shared" si="31"/>
        <v>3851</v>
      </c>
      <c r="AF130" s="24"/>
      <c r="AG130" s="19">
        <f t="shared" si="28"/>
        <v>0</v>
      </c>
    </row>
    <row r="131" spans="1:33" s="20" customFormat="1" ht="13.5">
      <c r="A131" s="52"/>
      <c r="B131" s="22" t="s">
        <v>294</v>
      </c>
      <c r="C131" s="49" t="s">
        <v>295</v>
      </c>
      <c r="D131" s="50" t="s">
        <v>103</v>
      </c>
      <c r="E131" s="34" t="s">
        <v>300</v>
      </c>
      <c r="F131" s="14"/>
      <c r="G131" s="14"/>
      <c r="H131" s="14">
        <v>8645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8">
        <f t="shared" si="30"/>
        <v>8645</v>
      </c>
      <c r="U131" s="14"/>
      <c r="V131" s="14">
        <v>8645</v>
      </c>
      <c r="W131" s="14"/>
      <c r="X131" s="14"/>
      <c r="Y131" s="14"/>
      <c r="Z131" s="14"/>
      <c r="AA131" s="14"/>
      <c r="AB131" s="14"/>
      <c r="AC131" s="14"/>
      <c r="AD131" s="14"/>
      <c r="AE131" s="18">
        <f t="shared" si="31"/>
        <v>8645</v>
      </c>
      <c r="AF131" s="24"/>
      <c r="AG131" s="19">
        <f aca="true" t="shared" si="32" ref="AG131:AG162">AE131-T131</f>
        <v>0</v>
      </c>
    </row>
    <row r="132" spans="1:33" s="20" customFormat="1" ht="13.5">
      <c r="A132" s="52"/>
      <c r="B132" s="22" t="s">
        <v>301</v>
      </c>
      <c r="C132" s="49" t="s">
        <v>295</v>
      </c>
      <c r="D132" s="50" t="s">
        <v>103</v>
      </c>
      <c r="E132" s="51" t="s">
        <v>302</v>
      </c>
      <c r="F132" s="14"/>
      <c r="G132" s="14"/>
      <c r="H132" s="14"/>
      <c r="I132" s="14"/>
      <c r="J132" s="14"/>
      <c r="K132" s="14">
        <v>-796</v>
      </c>
      <c r="L132" s="14">
        <v>796</v>
      </c>
      <c r="M132" s="14"/>
      <c r="N132" s="14"/>
      <c r="O132" s="14"/>
      <c r="P132" s="14"/>
      <c r="Q132" s="14"/>
      <c r="R132" s="14"/>
      <c r="S132" s="14"/>
      <c r="T132" s="18">
        <f t="shared" si="30"/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8">
        <f t="shared" si="31"/>
        <v>0</v>
      </c>
      <c r="AF132" s="24"/>
      <c r="AG132" s="19">
        <f t="shared" si="32"/>
        <v>0</v>
      </c>
    </row>
    <row r="133" spans="1:33" s="20" customFormat="1" ht="13.5">
      <c r="A133" s="52"/>
      <c r="B133" s="22" t="s">
        <v>301</v>
      </c>
      <c r="C133" s="49" t="s">
        <v>295</v>
      </c>
      <c r="D133" s="50" t="s">
        <v>103</v>
      </c>
      <c r="E133" s="51" t="s">
        <v>245</v>
      </c>
      <c r="F133" s="14">
        <v>-13358</v>
      </c>
      <c r="G133" s="14">
        <v>-4277</v>
      </c>
      <c r="H133" s="14">
        <v>17635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8">
        <f t="shared" si="30"/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8">
        <f t="shared" si="31"/>
        <v>0</v>
      </c>
      <c r="AF133" s="24"/>
      <c r="AG133" s="19">
        <f t="shared" si="32"/>
        <v>0</v>
      </c>
    </row>
    <row r="134" spans="1:33" s="20" customFormat="1" ht="13.5">
      <c r="A134" s="52"/>
      <c r="B134" s="22" t="s">
        <v>301</v>
      </c>
      <c r="C134" s="49" t="s">
        <v>295</v>
      </c>
      <c r="D134" s="50" t="s">
        <v>103</v>
      </c>
      <c r="E134" s="51" t="s">
        <v>266</v>
      </c>
      <c r="F134" s="14"/>
      <c r="G134" s="14">
        <v>-826</v>
      </c>
      <c r="H134" s="14">
        <v>826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8">
        <f t="shared" si="30"/>
        <v>0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8">
        <f t="shared" si="31"/>
        <v>0</v>
      </c>
      <c r="AF134" s="24"/>
      <c r="AG134" s="19">
        <f t="shared" si="32"/>
        <v>0</v>
      </c>
    </row>
    <row r="135" spans="1:33" s="20" customFormat="1" ht="13.5">
      <c r="A135" s="52"/>
      <c r="B135" s="22" t="s">
        <v>301</v>
      </c>
      <c r="C135" s="49" t="s">
        <v>295</v>
      </c>
      <c r="D135" s="50" t="s">
        <v>103</v>
      </c>
      <c r="E135" s="51" t="s">
        <v>173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8">
        <f t="shared" si="30"/>
        <v>0</v>
      </c>
      <c r="U135" s="14"/>
      <c r="V135" s="14">
        <v>-6720</v>
      </c>
      <c r="W135" s="14">
        <v>6720</v>
      </c>
      <c r="X135" s="14"/>
      <c r="Y135" s="14"/>
      <c r="Z135" s="14"/>
      <c r="AA135" s="14"/>
      <c r="AB135" s="14"/>
      <c r="AC135" s="14"/>
      <c r="AD135" s="14"/>
      <c r="AE135" s="18">
        <f t="shared" si="31"/>
        <v>0</v>
      </c>
      <c r="AF135" s="24"/>
      <c r="AG135" s="19">
        <f t="shared" si="32"/>
        <v>0</v>
      </c>
    </row>
    <row r="136" spans="1:33" s="20" customFormat="1" ht="13.5">
      <c r="A136" s="52"/>
      <c r="B136" s="22" t="s">
        <v>303</v>
      </c>
      <c r="C136" s="49" t="s">
        <v>295</v>
      </c>
      <c r="D136" s="50" t="s">
        <v>99</v>
      </c>
      <c r="E136" s="47" t="s">
        <v>304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v>5206</v>
      </c>
      <c r="Q136" s="14"/>
      <c r="R136" s="14"/>
      <c r="S136" s="14"/>
      <c r="T136" s="18">
        <f t="shared" si="30"/>
        <v>5206</v>
      </c>
      <c r="U136" s="14"/>
      <c r="V136" s="14"/>
      <c r="W136" s="14"/>
      <c r="X136" s="14"/>
      <c r="Y136" s="14">
        <v>5206</v>
      </c>
      <c r="Z136" s="14"/>
      <c r="AA136" s="14"/>
      <c r="AB136" s="14"/>
      <c r="AC136" s="14"/>
      <c r="AD136" s="14"/>
      <c r="AE136" s="18">
        <f t="shared" si="31"/>
        <v>5206</v>
      </c>
      <c r="AF136" s="24"/>
      <c r="AG136" s="19">
        <f t="shared" si="32"/>
        <v>0</v>
      </c>
    </row>
    <row r="137" spans="1:33" s="20" customFormat="1" ht="13.5">
      <c r="A137" s="52"/>
      <c r="B137" s="22" t="s">
        <v>305</v>
      </c>
      <c r="C137" s="49" t="s">
        <v>306</v>
      </c>
      <c r="D137" s="50" t="s">
        <v>99</v>
      </c>
      <c r="E137" s="47" t="s">
        <v>307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>
        <v>5373</v>
      </c>
      <c r="Q137" s="14"/>
      <c r="R137" s="14"/>
      <c r="S137" s="14"/>
      <c r="T137" s="18">
        <f t="shared" si="30"/>
        <v>5373</v>
      </c>
      <c r="U137" s="14"/>
      <c r="V137" s="14"/>
      <c r="W137" s="14"/>
      <c r="X137" s="14"/>
      <c r="Y137" s="14">
        <v>5373</v>
      </c>
      <c r="Z137" s="14"/>
      <c r="AA137" s="14"/>
      <c r="AB137" s="14"/>
      <c r="AC137" s="14"/>
      <c r="AD137" s="14"/>
      <c r="AE137" s="18">
        <f t="shared" si="31"/>
        <v>5373</v>
      </c>
      <c r="AF137" s="24"/>
      <c r="AG137" s="19">
        <f t="shared" si="32"/>
        <v>0</v>
      </c>
    </row>
    <row r="138" spans="1:33" s="20" customFormat="1" ht="13.5">
      <c r="A138" s="52"/>
      <c r="B138" s="22" t="s">
        <v>308</v>
      </c>
      <c r="C138" s="49" t="s">
        <v>309</v>
      </c>
      <c r="D138" s="50" t="s">
        <v>99</v>
      </c>
      <c r="E138" s="34" t="s">
        <v>310</v>
      </c>
      <c r="F138" s="14">
        <v>65809</v>
      </c>
      <c r="G138" s="14">
        <v>30970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8">
        <f t="shared" si="30"/>
        <v>96779</v>
      </c>
      <c r="U138" s="14"/>
      <c r="V138" s="14"/>
      <c r="W138" s="14"/>
      <c r="X138" s="14"/>
      <c r="Y138" s="14"/>
      <c r="Z138" s="14"/>
      <c r="AA138" s="14"/>
      <c r="AB138" s="14">
        <v>96779</v>
      </c>
      <c r="AC138" s="14"/>
      <c r="AD138" s="14"/>
      <c r="AE138" s="18">
        <f t="shared" si="31"/>
        <v>96779</v>
      </c>
      <c r="AF138" s="24"/>
      <c r="AG138" s="19">
        <f t="shared" si="32"/>
        <v>0</v>
      </c>
    </row>
    <row r="139" spans="1:33" s="20" customFormat="1" ht="13.5">
      <c r="A139" s="52"/>
      <c r="B139" s="22" t="s">
        <v>311</v>
      </c>
      <c r="C139" s="49" t="s">
        <v>312</v>
      </c>
      <c r="D139" s="50" t="s">
        <v>103</v>
      </c>
      <c r="E139" s="22" t="s">
        <v>183</v>
      </c>
      <c r="F139" s="14"/>
      <c r="G139" s="14">
        <v>206015</v>
      </c>
      <c r="H139" s="14"/>
      <c r="I139" s="14"/>
      <c r="J139" s="14"/>
      <c r="K139" s="14"/>
      <c r="L139" s="14"/>
      <c r="M139" s="14"/>
      <c r="N139" s="14"/>
      <c r="O139" s="14"/>
      <c r="P139" s="53"/>
      <c r="Q139" s="14"/>
      <c r="R139" s="14"/>
      <c r="S139" s="14"/>
      <c r="T139" s="18">
        <f t="shared" si="30"/>
        <v>206015</v>
      </c>
      <c r="U139" s="14"/>
      <c r="V139" s="14"/>
      <c r="W139" s="14">
        <v>206015</v>
      </c>
      <c r="X139" s="14"/>
      <c r="Y139" s="14"/>
      <c r="Z139" s="14"/>
      <c r="AA139" s="53"/>
      <c r="AB139" s="14"/>
      <c r="AC139" s="14"/>
      <c r="AD139" s="14"/>
      <c r="AE139" s="18">
        <f t="shared" si="31"/>
        <v>206015</v>
      </c>
      <c r="AF139" s="24"/>
      <c r="AG139" s="19">
        <f t="shared" si="32"/>
        <v>0</v>
      </c>
    </row>
    <row r="140" spans="1:33" s="20" customFormat="1" ht="13.5">
      <c r="A140" s="52"/>
      <c r="B140" s="22" t="s">
        <v>311</v>
      </c>
      <c r="C140" s="49" t="s">
        <v>312</v>
      </c>
      <c r="D140" s="50" t="s">
        <v>103</v>
      </c>
      <c r="E140" s="51" t="s">
        <v>284</v>
      </c>
      <c r="F140" s="14">
        <v>500</v>
      </c>
      <c r="G140" s="14">
        <v>130</v>
      </c>
      <c r="H140" s="14">
        <v>35684</v>
      </c>
      <c r="I140" s="14"/>
      <c r="J140" s="14"/>
      <c r="K140" s="14"/>
      <c r="L140" s="14"/>
      <c r="M140" s="14"/>
      <c r="N140" s="14"/>
      <c r="O140" s="14"/>
      <c r="P140" s="53"/>
      <c r="Q140" s="14"/>
      <c r="R140" s="14"/>
      <c r="S140" s="14"/>
      <c r="T140" s="18">
        <f t="shared" si="30"/>
        <v>36314</v>
      </c>
      <c r="U140" s="14"/>
      <c r="V140" s="14"/>
      <c r="W140" s="14">
        <v>36314</v>
      </c>
      <c r="X140" s="14"/>
      <c r="Y140" s="14"/>
      <c r="Z140" s="14"/>
      <c r="AA140" s="53"/>
      <c r="AB140" s="14"/>
      <c r="AC140" s="14"/>
      <c r="AD140" s="14"/>
      <c r="AE140" s="18">
        <f t="shared" si="31"/>
        <v>36314</v>
      </c>
      <c r="AF140" s="24"/>
      <c r="AG140" s="19">
        <f t="shared" si="32"/>
        <v>0</v>
      </c>
    </row>
    <row r="141" spans="1:33" s="20" customFormat="1" ht="13.5">
      <c r="A141" s="52"/>
      <c r="B141" s="22" t="s">
        <v>311</v>
      </c>
      <c r="C141" s="49" t="s">
        <v>312</v>
      </c>
      <c r="D141" s="50" t="s">
        <v>103</v>
      </c>
      <c r="E141" s="51" t="s">
        <v>313</v>
      </c>
      <c r="F141" s="14">
        <v>313824</v>
      </c>
      <c r="G141" s="14">
        <v>187826</v>
      </c>
      <c r="H141" s="14"/>
      <c r="I141" s="14"/>
      <c r="J141" s="14"/>
      <c r="K141" s="14"/>
      <c r="L141" s="14"/>
      <c r="M141" s="14"/>
      <c r="N141" s="14"/>
      <c r="O141" s="14"/>
      <c r="P141" s="53"/>
      <c r="Q141" s="14"/>
      <c r="R141" s="14"/>
      <c r="S141" s="14"/>
      <c r="T141" s="18">
        <f t="shared" si="30"/>
        <v>501650</v>
      </c>
      <c r="U141" s="14"/>
      <c r="V141" s="14"/>
      <c r="W141" s="14">
        <v>501650</v>
      </c>
      <c r="X141" s="14"/>
      <c r="Y141" s="14"/>
      <c r="Z141" s="14"/>
      <c r="AA141" s="53"/>
      <c r="AB141" s="14"/>
      <c r="AC141" s="14"/>
      <c r="AD141" s="14"/>
      <c r="AE141" s="18">
        <f t="shared" si="31"/>
        <v>501650</v>
      </c>
      <c r="AF141" s="24"/>
      <c r="AG141" s="19">
        <f t="shared" si="32"/>
        <v>0</v>
      </c>
    </row>
    <row r="142" spans="1:33" s="20" customFormat="1" ht="13.5">
      <c r="A142" s="52"/>
      <c r="B142" s="22" t="s">
        <v>311</v>
      </c>
      <c r="C142" s="49" t="s">
        <v>312</v>
      </c>
      <c r="D142" s="50" t="s">
        <v>103</v>
      </c>
      <c r="E142" s="34" t="s">
        <v>285</v>
      </c>
      <c r="F142" s="14"/>
      <c r="G142" s="14"/>
      <c r="H142" s="14">
        <v>2041</v>
      </c>
      <c r="I142" s="14"/>
      <c r="J142" s="14"/>
      <c r="K142" s="14"/>
      <c r="L142" s="14"/>
      <c r="M142" s="14"/>
      <c r="N142" s="14"/>
      <c r="O142" s="14"/>
      <c r="P142" s="53"/>
      <c r="Q142" s="14"/>
      <c r="R142" s="14"/>
      <c r="S142" s="14"/>
      <c r="T142" s="18">
        <f t="shared" si="30"/>
        <v>2041</v>
      </c>
      <c r="U142" s="14"/>
      <c r="V142" s="14">
        <v>2041</v>
      </c>
      <c r="W142" s="14"/>
      <c r="X142" s="14"/>
      <c r="Y142" s="14"/>
      <c r="Z142" s="14"/>
      <c r="AA142" s="53"/>
      <c r="AB142" s="14"/>
      <c r="AC142" s="14"/>
      <c r="AD142" s="14"/>
      <c r="AE142" s="18">
        <f t="shared" si="31"/>
        <v>2041</v>
      </c>
      <c r="AF142" s="24"/>
      <c r="AG142" s="19">
        <f t="shared" si="32"/>
        <v>0</v>
      </c>
    </row>
    <row r="143" spans="1:33" s="20" customFormat="1" ht="13.5">
      <c r="A143" s="52"/>
      <c r="B143" s="22" t="s">
        <v>311</v>
      </c>
      <c r="C143" s="49" t="s">
        <v>312</v>
      </c>
      <c r="D143" s="50" t="s">
        <v>103</v>
      </c>
      <c r="E143" s="51" t="s">
        <v>314</v>
      </c>
      <c r="F143" s="14">
        <v>450301</v>
      </c>
      <c r="G143" s="14"/>
      <c r="H143" s="14"/>
      <c r="I143" s="14"/>
      <c r="J143" s="14"/>
      <c r="K143" s="14">
        <v>34000</v>
      </c>
      <c r="L143" s="14"/>
      <c r="M143" s="14"/>
      <c r="N143" s="14"/>
      <c r="O143" s="14"/>
      <c r="P143" s="53"/>
      <c r="Q143" s="14"/>
      <c r="R143" s="14"/>
      <c r="S143" s="14"/>
      <c r="T143" s="18">
        <f t="shared" si="30"/>
        <v>484301</v>
      </c>
      <c r="U143" s="14"/>
      <c r="V143" s="14">
        <v>484301</v>
      </c>
      <c r="W143" s="14"/>
      <c r="X143" s="14"/>
      <c r="Y143" s="14"/>
      <c r="Z143" s="14"/>
      <c r="AA143" s="53"/>
      <c r="AB143" s="14"/>
      <c r="AC143" s="14"/>
      <c r="AD143" s="14"/>
      <c r="AE143" s="18">
        <f t="shared" si="31"/>
        <v>484301</v>
      </c>
      <c r="AF143" s="24"/>
      <c r="AG143" s="19">
        <f t="shared" si="32"/>
        <v>0</v>
      </c>
    </row>
    <row r="144" spans="1:33" s="20" customFormat="1" ht="13.5">
      <c r="A144" s="52"/>
      <c r="B144" s="22" t="s">
        <v>311</v>
      </c>
      <c r="C144" s="49" t="s">
        <v>312</v>
      </c>
      <c r="D144" s="50" t="s">
        <v>103</v>
      </c>
      <c r="E144" s="51" t="s">
        <v>315</v>
      </c>
      <c r="F144" s="14">
        <v>10480</v>
      </c>
      <c r="G144" s="14">
        <v>3354</v>
      </c>
      <c r="H144" s="14">
        <v>5784</v>
      </c>
      <c r="I144" s="14"/>
      <c r="J144" s="14"/>
      <c r="K144" s="14"/>
      <c r="L144" s="14"/>
      <c r="M144" s="14"/>
      <c r="N144" s="14"/>
      <c r="O144" s="14"/>
      <c r="P144" s="53"/>
      <c r="Q144" s="14"/>
      <c r="R144" s="14"/>
      <c r="S144" s="14"/>
      <c r="T144" s="18">
        <f t="shared" si="30"/>
        <v>19618</v>
      </c>
      <c r="U144" s="14"/>
      <c r="V144" s="14">
        <v>19618</v>
      </c>
      <c r="W144" s="14"/>
      <c r="X144" s="14"/>
      <c r="Y144" s="14"/>
      <c r="Z144" s="14"/>
      <c r="AA144" s="53"/>
      <c r="AB144" s="14"/>
      <c r="AC144" s="14"/>
      <c r="AD144" s="14"/>
      <c r="AE144" s="18">
        <f t="shared" si="31"/>
        <v>19618</v>
      </c>
      <c r="AF144" s="24"/>
      <c r="AG144" s="19">
        <f t="shared" si="32"/>
        <v>0</v>
      </c>
    </row>
    <row r="145" spans="1:33" s="20" customFormat="1" ht="13.5">
      <c r="A145" s="52"/>
      <c r="B145" s="22" t="s">
        <v>311</v>
      </c>
      <c r="C145" s="49" t="s">
        <v>312</v>
      </c>
      <c r="D145" s="50" t="s">
        <v>103</v>
      </c>
      <c r="E145" s="51" t="s">
        <v>252</v>
      </c>
      <c r="F145" s="14"/>
      <c r="G145" s="14"/>
      <c r="H145" s="14"/>
      <c r="I145" s="14"/>
      <c r="J145" s="14"/>
      <c r="K145" s="14">
        <v>19492</v>
      </c>
      <c r="L145" s="14"/>
      <c r="M145" s="14"/>
      <c r="N145" s="14"/>
      <c r="O145" s="14"/>
      <c r="P145" s="53"/>
      <c r="Q145" s="14"/>
      <c r="R145" s="14"/>
      <c r="S145" s="14"/>
      <c r="T145" s="18">
        <f t="shared" si="30"/>
        <v>19492</v>
      </c>
      <c r="U145" s="14"/>
      <c r="V145" s="14"/>
      <c r="W145" s="14">
        <v>19492</v>
      </c>
      <c r="X145" s="14"/>
      <c r="Y145" s="14"/>
      <c r="Z145" s="14"/>
      <c r="AA145" s="53"/>
      <c r="AB145" s="14"/>
      <c r="AC145" s="14"/>
      <c r="AD145" s="14"/>
      <c r="AE145" s="18">
        <f t="shared" si="31"/>
        <v>19492</v>
      </c>
      <c r="AF145" s="24"/>
      <c r="AG145" s="19">
        <f t="shared" si="32"/>
        <v>0</v>
      </c>
    </row>
    <row r="146" spans="1:33" s="20" customFormat="1" ht="13.5">
      <c r="A146" s="52"/>
      <c r="B146" s="22" t="s">
        <v>316</v>
      </c>
      <c r="C146" s="49" t="s">
        <v>312</v>
      </c>
      <c r="D146" s="50" t="s">
        <v>130</v>
      </c>
      <c r="E146" s="35" t="s">
        <v>317</v>
      </c>
      <c r="F146" s="14">
        <v>34844</v>
      </c>
      <c r="G146" s="14">
        <v>11006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8">
        <f t="shared" si="30"/>
        <v>45850</v>
      </c>
      <c r="U146" s="14"/>
      <c r="V146" s="14"/>
      <c r="W146" s="14"/>
      <c r="X146" s="14"/>
      <c r="Y146" s="14"/>
      <c r="Z146" s="14"/>
      <c r="AA146" s="14"/>
      <c r="AB146" s="14">
        <v>45850</v>
      </c>
      <c r="AC146" s="14"/>
      <c r="AD146" s="14"/>
      <c r="AE146" s="18">
        <f t="shared" si="31"/>
        <v>45850</v>
      </c>
      <c r="AF146" s="24"/>
      <c r="AG146" s="19">
        <f t="shared" si="32"/>
        <v>0</v>
      </c>
    </row>
    <row r="147" spans="1:33" s="20" customFormat="1" ht="25.5">
      <c r="A147" s="52"/>
      <c r="B147" s="22" t="s">
        <v>318</v>
      </c>
      <c r="C147" s="49" t="s">
        <v>312</v>
      </c>
      <c r="D147" s="50" t="s">
        <v>99</v>
      </c>
      <c r="E147" s="54" t="s">
        <v>319</v>
      </c>
      <c r="F147" s="14">
        <v>1688</v>
      </c>
      <c r="G147" s="14">
        <v>540</v>
      </c>
      <c r="H147" s="14">
        <v>469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8">
        <f t="shared" si="30"/>
        <v>2697</v>
      </c>
      <c r="U147" s="14"/>
      <c r="V147" s="14"/>
      <c r="W147" s="14"/>
      <c r="X147" s="14">
        <v>2697</v>
      </c>
      <c r="Y147" s="14"/>
      <c r="Z147" s="14"/>
      <c r="AA147" s="14"/>
      <c r="AB147" s="14"/>
      <c r="AC147" s="14"/>
      <c r="AD147" s="14"/>
      <c r="AE147" s="18">
        <f t="shared" si="31"/>
        <v>2697</v>
      </c>
      <c r="AF147" s="24"/>
      <c r="AG147" s="19">
        <f t="shared" si="32"/>
        <v>0</v>
      </c>
    </row>
    <row r="148" spans="1:33" s="20" customFormat="1" ht="25.5">
      <c r="A148" s="52"/>
      <c r="B148" s="22" t="s">
        <v>318</v>
      </c>
      <c r="C148" s="49" t="s">
        <v>312</v>
      </c>
      <c r="D148" s="50" t="s">
        <v>99</v>
      </c>
      <c r="E148" s="55" t="s">
        <v>320</v>
      </c>
      <c r="F148" s="14"/>
      <c r="G148" s="14"/>
      <c r="H148" s="14">
        <v>5600</v>
      </c>
      <c r="I148" s="14"/>
      <c r="J148" s="14"/>
      <c r="K148" s="14"/>
      <c r="L148" s="14"/>
      <c r="M148" s="14"/>
      <c r="N148" s="14"/>
      <c r="O148" s="14"/>
      <c r="P148" s="53">
        <v>22255</v>
      </c>
      <c r="Q148" s="14"/>
      <c r="R148" s="14"/>
      <c r="S148" s="14"/>
      <c r="T148" s="18">
        <f t="shared" si="30"/>
        <v>27855</v>
      </c>
      <c r="U148" s="14"/>
      <c r="V148" s="14"/>
      <c r="W148" s="14">
        <v>5600</v>
      </c>
      <c r="X148" s="14"/>
      <c r="Y148" s="14"/>
      <c r="Z148" s="14"/>
      <c r="AA148" s="53">
        <v>22255</v>
      </c>
      <c r="AB148" s="14"/>
      <c r="AC148" s="14"/>
      <c r="AD148" s="14"/>
      <c r="AE148" s="18">
        <f t="shared" si="31"/>
        <v>27855</v>
      </c>
      <c r="AF148" s="24"/>
      <c r="AG148" s="19">
        <f t="shared" si="32"/>
        <v>0</v>
      </c>
    </row>
    <row r="149" spans="1:33" s="20" customFormat="1" ht="25.5">
      <c r="A149" s="52"/>
      <c r="B149" s="22" t="s">
        <v>318</v>
      </c>
      <c r="C149" s="49" t="s">
        <v>312</v>
      </c>
      <c r="D149" s="50" t="s">
        <v>99</v>
      </c>
      <c r="E149" s="55" t="s">
        <v>321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53">
        <v>8800</v>
      </c>
      <c r="Q149" s="14"/>
      <c r="R149" s="14"/>
      <c r="S149" s="14"/>
      <c r="T149" s="18">
        <f t="shared" si="30"/>
        <v>8800</v>
      </c>
      <c r="U149" s="14"/>
      <c r="V149" s="14"/>
      <c r="W149" s="14"/>
      <c r="X149" s="14"/>
      <c r="Y149" s="14"/>
      <c r="Z149" s="14"/>
      <c r="AA149" s="53">
        <v>8800</v>
      </c>
      <c r="AB149" s="14"/>
      <c r="AC149" s="14"/>
      <c r="AD149" s="14"/>
      <c r="AE149" s="18">
        <f t="shared" si="31"/>
        <v>8800</v>
      </c>
      <c r="AF149" s="24"/>
      <c r="AG149" s="19">
        <f t="shared" si="32"/>
        <v>0</v>
      </c>
    </row>
    <row r="150" spans="1:33" s="20" customFormat="1" ht="25.5">
      <c r="A150" s="52"/>
      <c r="B150" s="22" t="s">
        <v>318</v>
      </c>
      <c r="C150" s="49" t="s">
        <v>312</v>
      </c>
      <c r="D150" s="50" t="s">
        <v>99</v>
      </c>
      <c r="E150" s="55" t="s">
        <v>322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53">
        <v>2500</v>
      </c>
      <c r="Q150" s="14"/>
      <c r="R150" s="14"/>
      <c r="S150" s="14"/>
      <c r="T150" s="18">
        <f t="shared" si="30"/>
        <v>2500</v>
      </c>
      <c r="U150" s="14"/>
      <c r="V150" s="14"/>
      <c r="W150" s="14"/>
      <c r="X150" s="14"/>
      <c r="Y150" s="14"/>
      <c r="Z150" s="14"/>
      <c r="AA150" s="53">
        <v>2500</v>
      </c>
      <c r="AB150" s="14"/>
      <c r="AC150" s="14"/>
      <c r="AD150" s="14"/>
      <c r="AE150" s="18">
        <f t="shared" si="31"/>
        <v>2500</v>
      </c>
      <c r="AF150" s="24"/>
      <c r="AG150" s="19">
        <f t="shared" si="32"/>
        <v>0</v>
      </c>
    </row>
    <row r="151" spans="1:33" s="20" customFormat="1" ht="25.5">
      <c r="A151" s="52"/>
      <c r="B151" s="22" t="s">
        <v>318</v>
      </c>
      <c r="C151" s="49" t="s">
        <v>312</v>
      </c>
      <c r="D151" s="50" t="s">
        <v>99</v>
      </c>
      <c r="E151" s="55" t="s">
        <v>323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53">
        <v>950</v>
      </c>
      <c r="Q151" s="14"/>
      <c r="R151" s="14"/>
      <c r="S151" s="14"/>
      <c r="T151" s="18">
        <f t="shared" si="30"/>
        <v>950</v>
      </c>
      <c r="U151" s="14"/>
      <c r="V151" s="14"/>
      <c r="W151" s="14"/>
      <c r="X151" s="14"/>
      <c r="Y151" s="14"/>
      <c r="Z151" s="14"/>
      <c r="AA151" s="53">
        <v>950</v>
      </c>
      <c r="AB151" s="14"/>
      <c r="AC151" s="14"/>
      <c r="AD151" s="14"/>
      <c r="AE151" s="18">
        <f t="shared" si="31"/>
        <v>950</v>
      </c>
      <c r="AF151" s="24"/>
      <c r="AG151" s="19">
        <f t="shared" si="32"/>
        <v>0</v>
      </c>
    </row>
    <row r="152" spans="1:33" s="20" customFormat="1" ht="25.5">
      <c r="A152" s="52"/>
      <c r="B152" s="22" t="s">
        <v>318</v>
      </c>
      <c r="C152" s="49" t="s">
        <v>312</v>
      </c>
      <c r="D152" s="50" t="s">
        <v>99</v>
      </c>
      <c r="E152" s="55" t="s">
        <v>324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53">
        <v>590</v>
      </c>
      <c r="Q152" s="14"/>
      <c r="R152" s="14"/>
      <c r="S152" s="14"/>
      <c r="T152" s="18">
        <f t="shared" si="30"/>
        <v>590</v>
      </c>
      <c r="U152" s="14"/>
      <c r="V152" s="14"/>
      <c r="W152" s="14"/>
      <c r="X152" s="14"/>
      <c r="Y152" s="14"/>
      <c r="Z152" s="14"/>
      <c r="AA152" s="53">
        <v>590</v>
      </c>
      <c r="AB152" s="14"/>
      <c r="AC152" s="14"/>
      <c r="AD152" s="14"/>
      <c r="AE152" s="18">
        <f t="shared" si="31"/>
        <v>590</v>
      </c>
      <c r="AF152" s="24"/>
      <c r="AG152" s="19">
        <f t="shared" si="32"/>
        <v>0</v>
      </c>
    </row>
    <row r="153" spans="1:33" s="20" customFormat="1" ht="25.5">
      <c r="A153" s="52"/>
      <c r="B153" s="22" t="s">
        <v>318</v>
      </c>
      <c r="C153" s="49" t="s">
        <v>312</v>
      </c>
      <c r="D153" s="50" t="s">
        <v>99</v>
      </c>
      <c r="E153" s="56" t="s">
        <v>370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53">
        <v>38459</v>
      </c>
      <c r="Q153" s="14"/>
      <c r="R153" s="14"/>
      <c r="S153" s="14"/>
      <c r="T153" s="18">
        <f t="shared" si="30"/>
        <v>38459</v>
      </c>
      <c r="U153" s="14"/>
      <c r="V153" s="14"/>
      <c r="W153" s="14"/>
      <c r="X153" s="14"/>
      <c r="Y153" s="14"/>
      <c r="Z153" s="14"/>
      <c r="AA153" s="53">
        <v>38459</v>
      </c>
      <c r="AB153" s="14"/>
      <c r="AC153" s="14"/>
      <c r="AD153" s="14"/>
      <c r="AE153" s="18">
        <f t="shared" si="31"/>
        <v>38459</v>
      </c>
      <c r="AF153" s="24"/>
      <c r="AG153" s="19">
        <f t="shared" si="32"/>
        <v>0</v>
      </c>
    </row>
    <row r="154" spans="1:33" s="20" customFormat="1" ht="25.5">
      <c r="A154" s="52"/>
      <c r="B154" s="22" t="s">
        <v>318</v>
      </c>
      <c r="C154" s="49" t="s">
        <v>312</v>
      </c>
      <c r="D154" s="50" t="s">
        <v>99</v>
      </c>
      <c r="E154" s="56" t="s">
        <v>371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53">
        <v>14786</v>
      </c>
      <c r="Q154" s="14"/>
      <c r="R154" s="14"/>
      <c r="S154" s="14"/>
      <c r="T154" s="18">
        <f t="shared" si="30"/>
        <v>14786</v>
      </c>
      <c r="U154" s="14"/>
      <c r="V154" s="14"/>
      <c r="W154" s="14"/>
      <c r="X154" s="14"/>
      <c r="Y154" s="14"/>
      <c r="Z154" s="14"/>
      <c r="AA154" s="53">
        <v>14786</v>
      </c>
      <c r="AB154" s="14"/>
      <c r="AC154" s="14"/>
      <c r="AD154" s="14"/>
      <c r="AE154" s="18">
        <f t="shared" si="31"/>
        <v>14786</v>
      </c>
      <c r="AF154" s="24"/>
      <c r="AG154" s="19">
        <f t="shared" si="32"/>
        <v>0</v>
      </c>
    </row>
    <row r="155" spans="1:33" s="20" customFormat="1" ht="25.5">
      <c r="A155" s="52"/>
      <c r="B155" s="22" t="s">
        <v>318</v>
      </c>
      <c r="C155" s="49" t="s">
        <v>312</v>
      </c>
      <c r="D155" s="50" t="s">
        <v>99</v>
      </c>
      <c r="E155" s="56" t="s">
        <v>372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53">
        <v>4263</v>
      </c>
      <c r="Q155" s="14"/>
      <c r="R155" s="14"/>
      <c r="S155" s="14"/>
      <c r="T155" s="18">
        <f aca="true" t="shared" si="33" ref="T155:T180">SUM(F155:S155)</f>
        <v>4263</v>
      </c>
      <c r="U155" s="14"/>
      <c r="V155" s="14"/>
      <c r="W155" s="14"/>
      <c r="X155" s="14"/>
      <c r="Y155" s="14"/>
      <c r="Z155" s="14"/>
      <c r="AA155" s="53">
        <v>4263</v>
      </c>
      <c r="AB155" s="14"/>
      <c r="AC155" s="14"/>
      <c r="AD155" s="14"/>
      <c r="AE155" s="18">
        <f aca="true" t="shared" si="34" ref="AE155:AE180">SUM(U155:AD155)</f>
        <v>4263</v>
      </c>
      <c r="AF155" s="24"/>
      <c r="AG155" s="19">
        <f t="shared" si="32"/>
        <v>0</v>
      </c>
    </row>
    <row r="156" spans="1:33" s="20" customFormat="1" ht="38.25">
      <c r="A156" s="52"/>
      <c r="B156" s="22" t="s">
        <v>318</v>
      </c>
      <c r="C156" s="49" t="s">
        <v>312</v>
      </c>
      <c r="D156" s="50" t="s">
        <v>99</v>
      </c>
      <c r="E156" s="56" t="s">
        <v>373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53">
        <v>6449</v>
      </c>
      <c r="Q156" s="14"/>
      <c r="R156" s="14"/>
      <c r="S156" s="14"/>
      <c r="T156" s="18">
        <f t="shared" si="33"/>
        <v>6449</v>
      </c>
      <c r="U156" s="14"/>
      <c r="V156" s="14"/>
      <c r="W156" s="14"/>
      <c r="X156" s="14"/>
      <c r="Y156" s="53">
        <v>6449</v>
      </c>
      <c r="Z156" s="14"/>
      <c r="AB156" s="14"/>
      <c r="AC156" s="14"/>
      <c r="AD156" s="14"/>
      <c r="AE156" s="18">
        <f t="shared" si="34"/>
        <v>6449</v>
      </c>
      <c r="AF156" s="24"/>
      <c r="AG156" s="19">
        <f t="shared" si="32"/>
        <v>0</v>
      </c>
    </row>
    <row r="157" spans="1:33" s="20" customFormat="1" ht="25.5">
      <c r="A157" s="52"/>
      <c r="B157" s="22" t="s">
        <v>318</v>
      </c>
      <c r="C157" s="49" t="s">
        <v>312</v>
      </c>
      <c r="D157" s="50" t="s">
        <v>99</v>
      </c>
      <c r="E157" s="56" t="s">
        <v>374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53">
        <v>38004</v>
      </c>
      <c r="Q157" s="14"/>
      <c r="R157" s="14"/>
      <c r="S157" s="14"/>
      <c r="T157" s="18">
        <f t="shared" si="33"/>
        <v>38004</v>
      </c>
      <c r="U157" s="14"/>
      <c r="V157" s="14"/>
      <c r="W157" s="14"/>
      <c r="X157" s="14"/>
      <c r="Y157" s="14"/>
      <c r="Z157" s="14"/>
      <c r="AA157" s="53">
        <v>38004</v>
      </c>
      <c r="AB157" s="14"/>
      <c r="AC157" s="14"/>
      <c r="AD157" s="14"/>
      <c r="AE157" s="18">
        <f t="shared" si="34"/>
        <v>38004</v>
      </c>
      <c r="AF157" s="24"/>
      <c r="AG157" s="19">
        <f t="shared" si="32"/>
        <v>0</v>
      </c>
    </row>
    <row r="158" spans="1:33" s="20" customFormat="1" ht="25.5">
      <c r="A158" s="52"/>
      <c r="B158" s="22" t="s">
        <v>325</v>
      </c>
      <c r="C158" s="49" t="s">
        <v>326</v>
      </c>
      <c r="D158" s="50" t="s">
        <v>99</v>
      </c>
      <c r="E158" s="54" t="s">
        <v>327</v>
      </c>
      <c r="F158" s="14">
        <v>1965</v>
      </c>
      <c r="G158" s="14">
        <v>629</v>
      </c>
      <c r="H158" s="14">
        <v>557</v>
      </c>
      <c r="I158" s="14"/>
      <c r="J158" s="14"/>
      <c r="K158" s="14"/>
      <c r="L158" s="14"/>
      <c r="M158" s="14"/>
      <c r="N158" s="14"/>
      <c r="O158" s="14"/>
      <c r="P158" s="53"/>
      <c r="Q158" s="14"/>
      <c r="R158" s="14"/>
      <c r="S158" s="14"/>
      <c r="T158" s="18">
        <f t="shared" si="33"/>
        <v>3151</v>
      </c>
      <c r="U158" s="14"/>
      <c r="V158" s="14"/>
      <c r="W158" s="14"/>
      <c r="X158" s="14">
        <v>3151</v>
      </c>
      <c r="Y158" s="14"/>
      <c r="Z158" s="14"/>
      <c r="AA158" s="53"/>
      <c r="AB158" s="14"/>
      <c r="AC158" s="14"/>
      <c r="AD158" s="14"/>
      <c r="AE158" s="18">
        <f t="shared" si="34"/>
        <v>3151</v>
      </c>
      <c r="AF158" s="24"/>
      <c r="AG158" s="19">
        <f t="shared" si="32"/>
        <v>0</v>
      </c>
    </row>
    <row r="159" spans="1:33" s="20" customFormat="1" ht="25.5">
      <c r="A159" s="52"/>
      <c r="B159" s="22" t="s">
        <v>325</v>
      </c>
      <c r="C159" s="49" t="s">
        <v>326</v>
      </c>
      <c r="D159" s="50" t="s">
        <v>99</v>
      </c>
      <c r="E159" s="54" t="s">
        <v>328</v>
      </c>
      <c r="F159" s="14">
        <v>2251</v>
      </c>
      <c r="G159" s="14">
        <v>720</v>
      </c>
      <c r="H159" s="14">
        <v>648</v>
      </c>
      <c r="I159" s="14"/>
      <c r="J159" s="14"/>
      <c r="K159" s="14"/>
      <c r="L159" s="14"/>
      <c r="M159" s="14"/>
      <c r="N159" s="14"/>
      <c r="O159" s="14"/>
      <c r="P159" s="53"/>
      <c r="Q159" s="14"/>
      <c r="R159" s="14"/>
      <c r="S159" s="14"/>
      <c r="T159" s="18">
        <f t="shared" si="33"/>
        <v>3619</v>
      </c>
      <c r="U159" s="14"/>
      <c r="V159" s="14"/>
      <c r="W159" s="14"/>
      <c r="X159" s="14">
        <v>3619</v>
      </c>
      <c r="Y159" s="14"/>
      <c r="Z159" s="14"/>
      <c r="AA159" s="53"/>
      <c r="AB159" s="14"/>
      <c r="AC159" s="14"/>
      <c r="AD159" s="14"/>
      <c r="AE159" s="18">
        <f t="shared" si="34"/>
        <v>3619</v>
      </c>
      <c r="AF159" s="24"/>
      <c r="AG159" s="19">
        <f t="shared" si="32"/>
        <v>0</v>
      </c>
    </row>
    <row r="160" spans="1:33" s="20" customFormat="1" ht="25.5">
      <c r="A160" s="52"/>
      <c r="B160" s="22" t="s">
        <v>325</v>
      </c>
      <c r="C160" s="49" t="s">
        <v>326</v>
      </c>
      <c r="D160" s="50" t="s">
        <v>99</v>
      </c>
      <c r="E160" s="54" t="s">
        <v>329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53">
        <v>-1518</v>
      </c>
      <c r="Q160" s="14"/>
      <c r="R160" s="14"/>
      <c r="S160" s="14"/>
      <c r="T160" s="18">
        <f t="shared" si="33"/>
        <v>-1518</v>
      </c>
      <c r="U160" s="14"/>
      <c r="V160" s="14"/>
      <c r="W160" s="14"/>
      <c r="X160" s="14"/>
      <c r="Y160" s="14">
        <v>-1518</v>
      </c>
      <c r="Z160" s="14"/>
      <c r="AA160" s="53"/>
      <c r="AB160" s="14"/>
      <c r="AC160" s="14"/>
      <c r="AD160" s="14"/>
      <c r="AE160" s="18">
        <f t="shared" si="34"/>
        <v>-1518</v>
      </c>
      <c r="AF160" s="24"/>
      <c r="AG160" s="19">
        <f t="shared" si="32"/>
        <v>0</v>
      </c>
    </row>
    <row r="161" spans="1:33" s="20" customFormat="1" ht="25.5">
      <c r="A161" s="52"/>
      <c r="B161" s="22" t="s">
        <v>325</v>
      </c>
      <c r="C161" s="49" t="s">
        <v>326</v>
      </c>
      <c r="D161" s="50" t="s">
        <v>99</v>
      </c>
      <c r="E161" s="54" t="s">
        <v>330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53">
        <v>433</v>
      </c>
      <c r="Q161" s="14"/>
      <c r="R161" s="14"/>
      <c r="S161" s="14"/>
      <c r="T161" s="18">
        <f t="shared" si="33"/>
        <v>433</v>
      </c>
      <c r="U161" s="14"/>
      <c r="V161" s="14"/>
      <c r="W161" s="14"/>
      <c r="X161" s="14"/>
      <c r="Y161" s="14">
        <v>433</v>
      </c>
      <c r="Z161" s="14"/>
      <c r="AA161" s="53"/>
      <c r="AB161" s="14"/>
      <c r="AC161" s="14"/>
      <c r="AD161" s="14"/>
      <c r="AE161" s="18">
        <f t="shared" si="34"/>
        <v>433</v>
      </c>
      <c r="AF161" s="24"/>
      <c r="AG161" s="19">
        <f t="shared" si="32"/>
        <v>0</v>
      </c>
    </row>
    <row r="162" spans="1:33" s="20" customFormat="1" ht="25.5">
      <c r="A162" s="52"/>
      <c r="B162" s="22" t="s">
        <v>331</v>
      </c>
      <c r="C162" s="49" t="s">
        <v>332</v>
      </c>
      <c r="D162" s="50" t="s">
        <v>103</v>
      </c>
      <c r="E162" s="54" t="s">
        <v>333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53">
        <v>3253</v>
      </c>
      <c r="Q162" s="14"/>
      <c r="R162" s="14"/>
      <c r="S162" s="14"/>
      <c r="T162" s="18">
        <f t="shared" si="33"/>
        <v>3253</v>
      </c>
      <c r="U162" s="14"/>
      <c r="V162" s="14"/>
      <c r="W162" s="14"/>
      <c r="X162" s="14"/>
      <c r="Y162" s="14">
        <v>3253</v>
      </c>
      <c r="Z162" s="14"/>
      <c r="AA162" s="53"/>
      <c r="AB162" s="14"/>
      <c r="AC162" s="14"/>
      <c r="AD162" s="14"/>
      <c r="AE162" s="18">
        <f t="shared" si="34"/>
        <v>3253</v>
      </c>
      <c r="AF162" s="24"/>
      <c r="AG162" s="19">
        <f t="shared" si="32"/>
        <v>0</v>
      </c>
    </row>
    <row r="163" spans="2:33" ht="13.5">
      <c r="B163" s="22" t="s">
        <v>334</v>
      </c>
      <c r="C163" s="49" t="s">
        <v>332</v>
      </c>
      <c r="D163" s="50" t="s">
        <v>103</v>
      </c>
      <c r="E163" s="51" t="s">
        <v>225</v>
      </c>
      <c r="F163" s="58"/>
      <c r="G163" s="58"/>
      <c r="H163" s="58">
        <v>-1326</v>
      </c>
      <c r="I163" s="58"/>
      <c r="J163" s="58"/>
      <c r="K163" s="58"/>
      <c r="L163" s="58"/>
      <c r="M163" s="58"/>
      <c r="N163" s="58"/>
      <c r="O163" s="58"/>
      <c r="P163" s="58">
        <v>1326</v>
      </c>
      <c r="Q163" s="58"/>
      <c r="R163" s="58"/>
      <c r="S163" s="58"/>
      <c r="T163" s="59">
        <f t="shared" si="33"/>
        <v>0</v>
      </c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9">
        <f t="shared" si="34"/>
        <v>0</v>
      </c>
      <c r="AF163" s="24"/>
      <c r="AG163" s="19">
        <f aca="true" t="shared" si="35" ref="AG163:AG186">AE163-T163</f>
        <v>0</v>
      </c>
    </row>
    <row r="164" spans="2:33" ht="13.5">
      <c r="B164" s="22" t="s">
        <v>334</v>
      </c>
      <c r="C164" s="49" t="s">
        <v>332</v>
      </c>
      <c r="D164" s="50" t="s">
        <v>103</v>
      </c>
      <c r="E164" s="51" t="s">
        <v>335</v>
      </c>
      <c r="F164" s="58"/>
      <c r="G164" s="58"/>
      <c r="H164" s="58"/>
      <c r="I164" s="60"/>
      <c r="J164" s="60"/>
      <c r="K164" s="60"/>
      <c r="L164" s="60"/>
      <c r="M164" s="60"/>
      <c r="N164" s="60"/>
      <c r="O164" s="60">
        <v>20000</v>
      </c>
      <c r="P164" s="60">
        <v>-20000</v>
      </c>
      <c r="Q164" s="60"/>
      <c r="R164" s="60"/>
      <c r="S164" s="60"/>
      <c r="T164" s="59">
        <f t="shared" si="33"/>
        <v>0</v>
      </c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59">
        <f t="shared" si="34"/>
        <v>0</v>
      </c>
      <c r="AF164" s="24"/>
      <c r="AG164" s="19">
        <f t="shared" si="35"/>
        <v>0</v>
      </c>
    </row>
    <row r="165" spans="2:33" ht="13.5">
      <c r="B165" s="22" t="s">
        <v>334</v>
      </c>
      <c r="C165" s="49" t="s">
        <v>332</v>
      </c>
      <c r="D165" s="50" t="s">
        <v>103</v>
      </c>
      <c r="E165" s="22" t="s">
        <v>336</v>
      </c>
      <c r="F165" s="58"/>
      <c r="G165" s="58"/>
      <c r="H165" s="58">
        <v>-22444</v>
      </c>
      <c r="I165" s="60"/>
      <c r="J165" s="60"/>
      <c r="K165" s="60"/>
      <c r="L165" s="60">
        <v>22444</v>
      </c>
      <c r="M165" s="60"/>
      <c r="N165" s="60"/>
      <c r="O165" s="60"/>
      <c r="P165" s="60"/>
      <c r="Q165" s="60"/>
      <c r="R165" s="60"/>
      <c r="S165" s="60"/>
      <c r="T165" s="59">
        <f t="shared" si="33"/>
        <v>0</v>
      </c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59">
        <f t="shared" si="34"/>
        <v>0</v>
      </c>
      <c r="AF165" s="24"/>
      <c r="AG165" s="19">
        <f t="shared" si="35"/>
        <v>0</v>
      </c>
    </row>
    <row r="166" spans="1:33" s="20" customFormat="1" ht="13.5">
      <c r="A166" s="52"/>
      <c r="B166" s="22" t="s">
        <v>337</v>
      </c>
      <c r="C166" s="49" t="s">
        <v>332</v>
      </c>
      <c r="D166" s="50" t="s">
        <v>103</v>
      </c>
      <c r="E166" s="51" t="s">
        <v>338</v>
      </c>
      <c r="F166" s="14">
        <v>449885</v>
      </c>
      <c r="G166" s="14"/>
      <c r="H166" s="14"/>
      <c r="I166" s="15"/>
      <c r="J166" s="15"/>
      <c r="K166" s="15"/>
      <c r="L166" s="15"/>
      <c r="M166" s="15"/>
      <c r="N166" s="15"/>
      <c r="O166" s="15"/>
      <c r="P166" s="61"/>
      <c r="Q166" s="15"/>
      <c r="R166" s="15"/>
      <c r="S166" s="15"/>
      <c r="T166" s="18">
        <f t="shared" si="33"/>
        <v>449885</v>
      </c>
      <c r="U166" s="15"/>
      <c r="V166" s="15"/>
      <c r="W166" s="15">
        <v>449885</v>
      </c>
      <c r="X166" s="15"/>
      <c r="Y166" s="15"/>
      <c r="Z166" s="15"/>
      <c r="AA166" s="61"/>
      <c r="AB166" s="15"/>
      <c r="AC166" s="15"/>
      <c r="AD166" s="15"/>
      <c r="AE166" s="18">
        <f t="shared" si="34"/>
        <v>449885</v>
      </c>
      <c r="AF166" s="24"/>
      <c r="AG166" s="19">
        <f t="shared" si="35"/>
        <v>0</v>
      </c>
    </row>
    <row r="167" spans="1:33" s="20" customFormat="1" ht="13.5">
      <c r="A167" s="52"/>
      <c r="B167" s="22" t="s">
        <v>337</v>
      </c>
      <c r="C167" s="49" t="s">
        <v>332</v>
      </c>
      <c r="D167" s="50" t="s">
        <v>71</v>
      </c>
      <c r="E167" s="51" t="s">
        <v>339</v>
      </c>
      <c r="F167" s="14"/>
      <c r="G167" s="14"/>
      <c r="H167" s="14">
        <v>25151</v>
      </c>
      <c r="I167" s="15"/>
      <c r="J167" s="15"/>
      <c r="K167" s="15"/>
      <c r="L167" s="15"/>
      <c r="M167" s="15"/>
      <c r="N167" s="15"/>
      <c r="O167" s="15"/>
      <c r="P167" s="61"/>
      <c r="Q167" s="15"/>
      <c r="R167" s="15"/>
      <c r="S167" s="15"/>
      <c r="T167" s="18">
        <f t="shared" si="33"/>
        <v>25151</v>
      </c>
      <c r="U167" s="15"/>
      <c r="V167" s="15"/>
      <c r="W167" s="15">
        <v>25151</v>
      </c>
      <c r="X167" s="15"/>
      <c r="Y167" s="15"/>
      <c r="Z167" s="15"/>
      <c r="AA167" s="61"/>
      <c r="AB167" s="15"/>
      <c r="AC167" s="15"/>
      <c r="AD167" s="15"/>
      <c r="AE167" s="18">
        <f t="shared" si="34"/>
        <v>25151</v>
      </c>
      <c r="AF167" s="24"/>
      <c r="AG167" s="19">
        <f t="shared" si="35"/>
        <v>0</v>
      </c>
    </row>
    <row r="168" spans="1:33" s="20" customFormat="1" ht="13.5">
      <c r="A168" s="52"/>
      <c r="B168" s="22" t="s">
        <v>337</v>
      </c>
      <c r="C168" s="49" t="s">
        <v>332</v>
      </c>
      <c r="D168" s="50" t="s">
        <v>71</v>
      </c>
      <c r="E168" s="51" t="s">
        <v>266</v>
      </c>
      <c r="F168" s="14">
        <v>1154</v>
      </c>
      <c r="G168" s="14">
        <v>2272</v>
      </c>
      <c r="H168" s="14"/>
      <c r="I168" s="15"/>
      <c r="J168" s="15"/>
      <c r="K168" s="15"/>
      <c r="L168" s="15"/>
      <c r="M168" s="15"/>
      <c r="N168" s="15"/>
      <c r="O168" s="15"/>
      <c r="P168" s="61"/>
      <c r="Q168" s="15"/>
      <c r="R168" s="15"/>
      <c r="S168" s="15"/>
      <c r="T168" s="18">
        <f t="shared" si="33"/>
        <v>3426</v>
      </c>
      <c r="U168" s="15"/>
      <c r="V168" s="15">
        <v>3426</v>
      </c>
      <c r="W168" s="15"/>
      <c r="X168" s="15"/>
      <c r="Y168" s="15"/>
      <c r="Z168" s="15"/>
      <c r="AA168" s="61"/>
      <c r="AB168" s="15"/>
      <c r="AC168" s="15"/>
      <c r="AD168" s="15"/>
      <c r="AE168" s="18">
        <f t="shared" si="34"/>
        <v>3426</v>
      </c>
      <c r="AF168" s="24"/>
      <c r="AG168" s="19">
        <f t="shared" si="35"/>
        <v>0</v>
      </c>
    </row>
    <row r="169" spans="1:33" s="20" customFormat="1" ht="13.5">
      <c r="A169" s="52"/>
      <c r="B169" s="22" t="s">
        <v>337</v>
      </c>
      <c r="C169" s="49" t="s">
        <v>332</v>
      </c>
      <c r="D169" s="50" t="s">
        <v>71</v>
      </c>
      <c r="E169" s="51" t="s">
        <v>296</v>
      </c>
      <c r="F169" s="14">
        <v>2306</v>
      </c>
      <c r="G169" s="14"/>
      <c r="H169" s="14"/>
      <c r="I169" s="15"/>
      <c r="J169" s="15"/>
      <c r="K169" s="15"/>
      <c r="L169" s="15"/>
      <c r="M169" s="15"/>
      <c r="N169" s="15"/>
      <c r="O169" s="15"/>
      <c r="P169" s="61"/>
      <c r="Q169" s="15"/>
      <c r="R169" s="15"/>
      <c r="S169" s="15"/>
      <c r="T169" s="18">
        <f t="shared" si="33"/>
        <v>2306</v>
      </c>
      <c r="U169" s="15"/>
      <c r="V169" s="15"/>
      <c r="W169" s="15">
        <v>2306</v>
      </c>
      <c r="X169" s="15"/>
      <c r="Y169" s="15"/>
      <c r="Z169" s="15"/>
      <c r="AA169" s="61"/>
      <c r="AB169" s="15"/>
      <c r="AC169" s="15"/>
      <c r="AD169" s="15"/>
      <c r="AE169" s="18">
        <f t="shared" si="34"/>
        <v>2306</v>
      </c>
      <c r="AF169" s="24"/>
      <c r="AG169" s="19">
        <f t="shared" si="35"/>
        <v>0</v>
      </c>
    </row>
    <row r="170" spans="1:33" s="20" customFormat="1" ht="13.5">
      <c r="A170" s="52"/>
      <c r="B170" s="22" t="s">
        <v>337</v>
      </c>
      <c r="C170" s="49" t="s">
        <v>332</v>
      </c>
      <c r="D170" s="50" t="s">
        <v>71</v>
      </c>
      <c r="E170" s="51" t="s">
        <v>340</v>
      </c>
      <c r="F170" s="14"/>
      <c r="G170" s="14"/>
      <c r="H170" s="14"/>
      <c r="I170" s="15"/>
      <c r="J170" s="15"/>
      <c r="K170" s="15"/>
      <c r="L170" s="15"/>
      <c r="M170" s="15"/>
      <c r="N170" s="15"/>
      <c r="O170" s="15"/>
      <c r="P170" s="61">
        <v>580</v>
      </c>
      <c r="Q170" s="15"/>
      <c r="R170" s="15"/>
      <c r="S170" s="15"/>
      <c r="T170" s="18">
        <f t="shared" si="33"/>
        <v>580</v>
      </c>
      <c r="U170" s="15"/>
      <c r="V170" s="15"/>
      <c r="W170" s="15">
        <v>580</v>
      </c>
      <c r="X170" s="15"/>
      <c r="Y170" s="15"/>
      <c r="Z170" s="15"/>
      <c r="AA170" s="61"/>
      <c r="AB170" s="15"/>
      <c r="AC170" s="15"/>
      <c r="AD170" s="15"/>
      <c r="AE170" s="18">
        <f t="shared" si="34"/>
        <v>580</v>
      </c>
      <c r="AF170" s="24"/>
      <c r="AG170" s="19">
        <f t="shared" si="35"/>
        <v>0</v>
      </c>
    </row>
    <row r="171" spans="1:33" s="20" customFormat="1" ht="13.5">
      <c r="A171" s="52"/>
      <c r="B171" s="22" t="s">
        <v>337</v>
      </c>
      <c r="C171" s="49" t="s">
        <v>332</v>
      </c>
      <c r="D171" s="50" t="s">
        <v>71</v>
      </c>
      <c r="E171" s="51" t="s">
        <v>285</v>
      </c>
      <c r="F171" s="14"/>
      <c r="G171" s="14"/>
      <c r="H171" s="14">
        <v>531</v>
      </c>
      <c r="I171" s="15"/>
      <c r="J171" s="15"/>
      <c r="K171" s="15"/>
      <c r="L171" s="15"/>
      <c r="M171" s="15"/>
      <c r="N171" s="15"/>
      <c r="O171" s="15"/>
      <c r="P171" s="61"/>
      <c r="Q171" s="15"/>
      <c r="R171" s="15"/>
      <c r="S171" s="15"/>
      <c r="T171" s="18">
        <f t="shared" si="33"/>
        <v>531</v>
      </c>
      <c r="U171" s="15"/>
      <c r="V171" s="15">
        <v>531</v>
      </c>
      <c r="W171" s="15"/>
      <c r="X171" s="15"/>
      <c r="Y171" s="15"/>
      <c r="Z171" s="15"/>
      <c r="AA171" s="61"/>
      <c r="AB171" s="15"/>
      <c r="AC171" s="15"/>
      <c r="AD171" s="15"/>
      <c r="AE171" s="18">
        <f t="shared" si="34"/>
        <v>531</v>
      </c>
      <c r="AF171" s="24"/>
      <c r="AG171" s="19">
        <f t="shared" si="35"/>
        <v>0</v>
      </c>
    </row>
    <row r="172" spans="1:33" s="20" customFormat="1" ht="13.5">
      <c r="A172" s="52"/>
      <c r="B172" s="22" t="s">
        <v>337</v>
      </c>
      <c r="C172" s="49" t="s">
        <v>332</v>
      </c>
      <c r="D172" s="50" t="s">
        <v>71</v>
      </c>
      <c r="E172" s="14" t="s">
        <v>227</v>
      </c>
      <c r="F172" s="14">
        <v>9417</v>
      </c>
      <c r="G172" s="14"/>
      <c r="H172" s="14"/>
      <c r="I172" s="15"/>
      <c r="J172" s="15"/>
      <c r="K172" s="15"/>
      <c r="L172" s="15"/>
      <c r="M172" s="15"/>
      <c r="N172" s="15"/>
      <c r="O172" s="15"/>
      <c r="P172" s="61"/>
      <c r="Q172" s="15"/>
      <c r="R172" s="15"/>
      <c r="S172" s="15"/>
      <c r="T172" s="18">
        <f t="shared" si="33"/>
        <v>9417</v>
      </c>
      <c r="U172" s="15"/>
      <c r="V172" s="15"/>
      <c r="W172" s="15">
        <v>9417</v>
      </c>
      <c r="X172" s="15"/>
      <c r="Y172" s="15"/>
      <c r="Z172" s="15"/>
      <c r="AA172" s="61"/>
      <c r="AB172" s="15"/>
      <c r="AC172" s="15"/>
      <c r="AD172" s="15"/>
      <c r="AE172" s="18">
        <f t="shared" si="34"/>
        <v>9417</v>
      </c>
      <c r="AF172" s="24"/>
      <c r="AG172" s="19">
        <f t="shared" si="35"/>
        <v>0</v>
      </c>
    </row>
    <row r="173" spans="1:33" s="20" customFormat="1" ht="13.5">
      <c r="A173" s="52"/>
      <c r="B173" s="22" t="s">
        <v>337</v>
      </c>
      <c r="C173" s="49" t="s">
        <v>332</v>
      </c>
      <c r="D173" s="50" t="s">
        <v>71</v>
      </c>
      <c r="E173" s="51" t="s">
        <v>341</v>
      </c>
      <c r="F173" s="14">
        <v>246131</v>
      </c>
      <c r="G173" s="14"/>
      <c r="H173" s="14"/>
      <c r="I173" s="15"/>
      <c r="J173" s="15"/>
      <c r="K173" s="15"/>
      <c r="L173" s="15"/>
      <c r="M173" s="15"/>
      <c r="N173" s="15"/>
      <c r="O173" s="15"/>
      <c r="P173" s="61"/>
      <c r="Q173" s="15"/>
      <c r="R173" s="15"/>
      <c r="S173" s="15"/>
      <c r="T173" s="18">
        <f t="shared" si="33"/>
        <v>246131</v>
      </c>
      <c r="U173" s="15"/>
      <c r="V173" s="15"/>
      <c r="W173" s="15">
        <v>246131</v>
      </c>
      <c r="X173" s="15"/>
      <c r="Y173" s="15"/>
      <c r="Z173" s="15"/>
      <c r="AA173" s="61"/>
      <c r="AB173" s="15"/>
      <c r="AC173" s="15"/>
      <c r="AD173" s="15"/>
      <c r="AE173" s="18">
        <f t="shared" si="34"/>
        <v>246131</v>
      </c>
      <c r="AF173" s="24"/>
      <c r="AG173" s="19">
        <f t="shared" si="35"/>
        <v>0</v>
      </c>
    </row>
    <row r="174" spans="1:33" s="20" customFormat="1" ht="13.5">
      <c r="A174" s="52"/>
      <c r="B174" s="22" t="s">
        <v>337</v>
      </c>
      <c r="C174" s="49" t="s">
        <v>332</v>
      </c>
      <c r="D174" s="50" t="s">
        <v>71</v>
      </c>
      <c r="E174" s="51" t="s">
        <v>252</v>
      </c>
      <c r="F174" s="14"/>
      <c r="G174" s="14"/>
      <c r="H174" s="14"/>
      <c r="I174" s="15"/>
      <c r="J174" s="15"/>
      <c r="K174" s="15">
        <v>3866</v>
      </c>
      <c r="L174" s="15"/>
      <c r="M174" s="15"/>
      <c r="N174" s="15"/>
      <c r="O174" s="15"/>
      <c r="P174" s="61"/>
      <c r="Q174" s="15"/>
      <c r="R174" s="15"/>
      <c r="S174" s="15"/>
      <c r="T174" s="18">
        <f t="shared" si="33"/>
        <v>3866</v>
      </c>
      <c r="U174" s="15"/>
      <c r="V174" s="15"/>
      <c r="W174" s="15">
        <v>3866</v>
      </c>
      <c r="X174" s="15"/>
      <c r="Y174" s="15"/>
      <c r="Z174" s="15"/>
      <c r="AA174" s="61"/>
      <c r="AB174" s="15"/>
      <c r="AC174" s="15"/>
      <c r="AD174" s="15"/>
      <c r="AE174" s="18">
        <f t="shared" si="34"/>
        <v>3866</v>
      </c>
      <c r="AF174" s="24"/>
      <c r="AG174" s="19">
        <f t="shared" si="35"/>
        <v>0</v>
      </c>
    </row>
    <row r="175" spans="1:33" s="20" customFormat="1" ht="13.5">
      <c r="A175" s="52"/>
      <c r="B175" s="22" t="s">
        <v>342</v>
      </c>
      <c r="C175" s="49" t="s">
        <v>332</v>
      </c>
      <c r="D175" s="62" t="s">
        <v>130</v>
      </c>
      <c r="E175" s="51" t="s">
        <v>343</v>
      </c>
      <c r="F175" s="14">
        <v>3643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53"/>
      <c r="Q175" s="14"/>
      <c r="R175" s="14"/>
      <c r="S175" s="14"/>
      <c r="T175" s="18">
        <f t="shared" si="33"/>
        <v>3643</v>
      </c>
      <c r="U175" s="14"/>
      <c r="V175" s="14"/>
      <c r="W175" s="14"/>
      <c r="X175" s="14"/>
      <c r="Y175" s="14"/>
      <c r="Z175" s="14"/>
      <c r="AA175" s="53"/>
      <c r="AB175" s="14">
        <v>3643</v>
      </c>
      <c r="AC175" s="14"/>
      <c r="AD175" s="14"/>
      <c r="AE175" s="18">
        <f t="shared" si="34"/>
        <v>3643</v>
      </c>
      <c r="AF175" s="24"/>
      <c r="AG175" s="19">
        <f t="shared" si="35"/>
        <v>0</v>
      </c>
    </row>
    <row r="176" spans="1:33" s="20" customFormat="1" ht="13.5">
      <c r="A176" s="52"/>
      <c r="B176" s="22" t="s">
        <v>344</v>
      </c>
      <c r="C176" s="63" t="s">
        <v>345</v>
      </c>
      <c r="D176" s="64" t="s">
        <v>130</v>
      </c>
      <c r="E176" s="65" t="s">
        <v>346</v>
      </c>
      <c r="F176" s="14">
        <v>9100</v>
      </c>
      <c r="G176" s="14">
        <v>2912</v>
      </c>
      <c r="H176" s="14"/>
      <c r="I176" s="14"/>
      <c r="J176" s="14"/>
      <c r="K176" s="14"/>
      <c r="L176" s="14"/>
      <c r="M176" s="14"/>
      <c r="N176" s="14"/>
      <c r="O176" s="14"/>
      <c r="P176" s="53"/>
      <c r="Q176" s="14"/>
      <c r="R176" s="14"/>
      <c r="S176" s="14"/>
      <c r="T176" s="18">
        <f t="shared" si="33"/>
        <v>12012</v>
      </c>
      <c r="U176" s="14"/>
      <c r="V176" s="14"/>
      <c r="W176" s="14"/>
      <c r="X176" s="14"/>
      <c r="Y176" s="14"/>
      <c r="Z176" s="14"/>
      <c r="AA176" s="53"/>
      <c r="AB176" s="14">
        <v>12012</v>
      </c>
      <c r="AC176" s="14"/>
      <c r="AD176" s="14"/>
      <c r="AE176" s="18">
        <f t="shared" si="34"/>
        <v>12012</v>
      </c>
      <c r="AF176" s="24"/>
      <c r="AG176" s="19">
        <f t="shared" si="35"/>
        <v>0</v>
      </c>
    </row>
    <row r="177" spans="1:33" s="20" customFormat="1" ht="13.5">
      <c r="A177" s="52"/>
      <c r="B177" s="22" t="s">
        <v>347</v>
      </c>
      <c r="C177" s="49" t="s">
        <v>348</v>
      </c>
      <c r="D177" s="50" t="s">
        <v>103</v>
      </c>
      <c r="E177" s="51" t="s">
        <v>285</v>
      </c>
      <c r="F177" s="14">
        <v>32092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53"/>
      <c r="Q177" s="14"/>
      <c r="R177" s="14"/>
      <c r="S177" s="14"/>
      <c r="T177" s="18">
        <f t="shared" si="33"/>
        <v>32092</v>
      </c>
      <c r="U177" s="14"/>
      <c r="V177" s="14">
        <v>32092</v>
      </c>
      <c r="W177" s="14"/>
      <c r="X177" s="14"/>
      <c r="Y177" s="14"/>
      <c r="Z177" s="14"/>
      <c r="AA177" s="53"/>
      <c r="AB177" s="14"/>
      <c r="AC177" s="14"/>
      <c r="AD177" s="14"/>
      <c r="AE177" s="18">
        <f t="shared" si="34"/>
        <v>32092</v>
      </c>
      <c r="AF177" s="24"/>
      <c r="AG177" s="19">
        <f t="shared" si="35"/>
        <v>0</v>
      </c>
    </row>
    <row r="178" spans="1:33" s="20" customFormat="1" ht="13.5">
      <c r="A178" s="52"/>
      <c r="B178" s="22" t="s">
        <v>347</v>
      </c>
      <c r="C178" s="49" t="s">
        <v>348</v>
      </c>
      <c r="D178" s="50" t="s">
        <v>71</v>
      </c>
      <c r="E178" s="51" t="s">
        <v>298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53"/>
      <c r="Q178" s="14"/>
      <c r="R178" s="14"/>
      <c r="S178" s="14"/>
      <c r="T178" s="18">
        <f t="shared" si="33"/>
        <v>0</v>
      </c>
      <c r="U178" s="14"/>
      <c r="V178" s="14">
        <v>-1978</v>
      </c>
      <c r="W178" s="14">
        <v>1978</v>
      </c>
      <c r="X178" s="14"/>
      <c r="Y178" s="14"/>
      <c r="Z178" s="14"/>
      <c r="AA178" s="53"/>
      <c r="AB178" s="14"/>
      <c r="AC178" s="14"/>
      <c r="AD178" s="14"/>
      <c r="AE178" s="18">
        <f t="shared" si="34"/>
        <v>0</v>
      </c>
      <c r="AF178" s="24"/>
      <c r="AG178" s="19">
        <f t="shared" si="35"/>
        <v>0</v>
      </c>
    </row>
    <row r="179" spans="1:33" s="20" customFormat="1" ht="13.5">
      <c r="A179" s="52"/>
      <c r="B179" s="22" t="s">
        <v>347</v>
      </c>
      <c r="C179" s="49" t="s">
        <v>348</v>
      </c>
      <c r="D179" s="50" t="s">
        <v>71</v>
      </c>
      <c r="E179" s="51" t="s">
        <v>349</v>
      </c>
      <c r="F179" s="14">
        <v>290900</v>
      </c>
      <c r="G179" s="14">
        <v>52</v>
      </c>
      <c r="H179" s="14"/>
      <c r="I179" s="14"/>
      <c r="J179" s="14"/>
      <c r="K179" s="14"/>
      <c r="L179" s="14"/>
      <c r="M179" s="14"/>
      <c r="N179" s="14"/>
      <c r="O179" s="14"/>
      <c r="P179" s="53"/>
      <c r="Q179" s="14"/>
      <c r="R179" s="14"/>
      <c r="S179" s="14"/>
      <c r="T179" s="18">
        <f t="shared" si="33"/>
        <v>290952</v>
      </c>
      <c r="U179" s="14"/>
      <c r="V179" s="14"/>
      <c r="W179" s="14">
        <v>290952</v>
      </c>
      <c r="X179" s="14"/>
      <c r="Y179" s="14"/>
      <c r="Z179" s="14"/>
      <c r="AA179" s="53"/>
      <c r="AB179" s="14"/>
      <c r="AC179" s="14"/>
      <c r="AD179" s="14"/>
      <c r="AE179" s="18">
        <f t="shared" si="34"/>
        <v>290952</v>
      </c>
      <c r="AF179" s="24"/>
      <c r="AG179" s="19">
        <f t="shared" si="35"/>
        <v>0</v>
      </c>
    </row>
    <row r="180" spans="1:33" s="20" customFormat="1" ht="13.5">
      <c r="A180" s="52"/>
      <c r="B180" s="22" t="s">
        <v>350</v>
      </c>
      <c r="C180" s="49" t="s">
        <v>351</v>
      </c>
      <c r="D180" s="62" t="s">
        <v>99</v>
      </c>
      <c r="E180" s="51" t="s">
        <v>352</v>
      </c>
      <c r="F180" s="14">
        <v>-65</v>
      </c>
      <c r="G180" s="14">
        <v>-21</v>
      </c>
      <c r="H180" s="14">
        <v>-1734</v>
      </c>
      <c r="I180" s="14"/>
      <c r="J180" s="14"/>
      <c r="K180" s="14"/>
      <c r="L180" s="14"/>
      <c r="M180" s="14"/>
      <c r="N180" s="14"/>
      <c r="O180" s="14"/>
      <c r="P180" s="53">
        <v>-198</v>
      </c>
      <c r="Q180" s="14"/>
      <c r="R180" s="14"/>
      <c r="S180" s="14"/>
      <c r="T180" s="18">
        <f t="shared" si="33"/>
        <v>-2018</v>
      </c>
      <c r="U180" s="14"/>
      <c r="V180" s="14"/>
      <c r="W180" s="14">
        <v>-850</v>
      </c>
      <c r="X180" s="14">
        <v>-970</v>
      </c>
      <c r="Y180" s="14">
        <v>-178</v>
      </c>
      <c r="Z180" s="14"/>
      <c r="AA180" s="53">
        <v>-20</v>
      </c>
      <c r="AB180" s="14"/>
      <c r="AC180" s="14"/>
      <c r="AD180" s="14"/>
      <c r="AE180" s="18">
        <f t="shared" si="34"/>
        <v>-2018</v>
      </c>
      <c r="AF180" s="24"/>
      <c r="AG180" s="19">
        <f t="shared" si="35"/>
        <v>0</v>
      </c>
    </row>
    <row r="181" spans="1:33" ht="13.5">
      <c r="A181" s="66"/>
      <c r="B181" s="506" t="s">
        <v>353</v>
      </c>
      <c r="C181" s="507"/>
      <c r="D181" s="507"/>
      <c r="E181" s="508"/>
      <c r="F181" s="67">
        <f aca="true" t="shared" si="36" ref="F181:AF181">SUM(F123:F180)</f>
        <v>2432927</v>
      </c>
      <c r="G181" s="67">
        <f t="shared" si="36"/>
        <v>606784</v>
      </c>
      <c r="H181" s="67">
        <f t="shared" si="36"/>
        <v>94992</v>
      </c>
      <c r="I181" s="67">
        <f t="shared" si="36"/>
        <v>0</v>
      </c>
      <c r="J181" s="67">
        <f t="shared" si="36"/>
        <v>0</v>
      </c>
      <c r="K181" s="67">
        <f t="shared" si="36"/>
        <v>56586</v>
      </c>
      <c r="L181" s="67">
        <f t="shared" si="36"/>
        <v>23240</v>
      </c>
      <c r="M181" s="67">
        <f t="shared" si="36"/>
        <v>0</v>
      </c>
      <c r="N181" s="67">
        <f t="shared" si="36"/>
        <v>0</v>
      </c>
      <c r="O181" s="67">
        <f t="shared" si="36"/>
        <v>20000</v>
      </c>
      <c r="P181" s="67">
        <f t="shared" si="36"/>
        <v>131511</v>
      </c>
      <c r="Q181" s="67">
        <f t="shared" si="36"/>
        <v>0</v>
      </c>
      <c r="R181" s="67">
        <f t="shared" si="36"/>
        <v>0</v>
      </c>
      <c r="S181" s="67">
        <f t="shared" si="36"/>
        <v>0</v>
      </c>
      <c r="T181" s="67">
        <f t="shared" si="36"/>
        <v>3366040</v>
      </c>
      <c r="U181" s="67">
        <f t="shared" si="36"/>
        <v>0</v>
      </c>
      <c r="V181" s="67">
        <f t="shared" si="36"/>
        <v>545807</v>
      </c>
      <c r="W181" s="67">
        <f t="shared" si="36"/>
        <v>2006242</v>
      </c>
      <c r="X181" s="67">
        <f t="shared" si="36"/>
        <v>8497</v>
      </c>
      <c r="Y181" s="67">
        <f t="shared" si="36"/>
        <v>19018</v>
      </c>
      <c r="Z181" s="67">
        <f t="shared" si="36"/>
        <v>0</v>
      </c>
      <c r="AA181" s="67">
        <f t="shared" si="36"/>
        <v>130587</v>
      </c>
      <c r="AB181" s="67">
        <f t="shared" si="36"/>
        <v>655889</v>
      </c>
      <c r="AC181" s="67">
        <f t="shared" si="36"/>
        <v>0</v>
      </c>
      <c r="AD181" s="67">
        <f t="shared" si="36"/>
        <v>0</v>
      </c>
      <c r="AE181" s="67">
        <f t="shared" si="36"/>
        <v>3366040</v>
      </c>
      <c r="AF181" s="67">
        <f t="shared" si="36"/>
        <v>0</v>
      </c>
      <c r="AG181" s="68">
        <f t="shared" si="35"/>
        <v>0</v>
      </c>
    </row>
    <row r="182" spans="2:33" s="69" customFormat="1" ht="12.75">
      <c r="B182" s="500" t="s">
        <v>354</v>
      </c>
      <c r="C182" s="501"/>
      <c r="D182" s="501"/>
      <c r="E182" s="502"/>
      <c r="F182" s="70">
        <f aca="true" t="shared" si="37" ref="F182:AE182">F7+F10+F14+F20+F29+F55+F59+F70+F75+F85+F122+F181</f>
        <v>23808571</v>
      </c>
      <c r="G182" s="70">
        <f t="shared" si="37"/>
        <v>7254448</v>
      </c>
      <c r="H182" s="70">
        <f t="shared" si="37"/>
        <v>12660219</v>
      </c>
      <c r="I182" s="70">
        <f t="shared" si="37"/>
        <v>0</v>
      </c>
      <c r="J182" s="70">
        <f t="shared" si="37"/>
        <v>58248</v>
      </c>
      <c r="K182" s="70">
        <f t="shared" si="37"/>
        <v>469514</v>
      </c>
      <c r="L182" s="70">
        <f t="shared" si="37"/>
        <v>56740</v>
      </c>
      <c r="M182" s="70">
        <f t="shared" si="37"/>
        <v>0</v>
      </c>
      <c r="N182" s="70">
        <f t="shared" si="37"/>
        <v>0</v>
      </c>
      <c r="O182" s="70">
        <f t="shared" si="37"/>
        <v>70000</v>
      </c>
      <c r="P182" s="70">
        <f t="shared" si="37"/>
        <v>1365192</v>
      </c>
      <c r="Q182" s="70">
        <f t="shared" si="37"/>
        <v>0</v>
      </c>
      <c r="R182" s="70">
        <f t="shared" si="37"/>
        <v>44775</v>
      </c>
      <c r="S182" s="70">
        <f t="shared" si="37"/>
        <v>0</v>
      </c>
      <c r="T182" s="70">
        <f t="shared" si="37"/>
        <v>45787707</v>
      </c>
      <c r="U182" s="70">
        <f t="shared" si="37"/>
        <v>13759961</v>
      </c>
      <c r="V182" s="70">
        <f t="shared" si="37"/>
        <v>744906</v>
      </c>
      <c r="W182" s="70">
        <f t="shared" si="37"/>
        <v>7064546</v>
      </c>
      <c r="X182" s="70">
        <f t="shared" si="37"/>
        <v>429820</v>
      </c>
      <c r="Y182" s="70">
        <f t="shared" si="37"/>
        <v>151929</v>
      </c>
      <c r="Z182" s="70">
        <f t="shared" si="37"/>
        <v>2255096</v>
      </c>
      <c r="AA182" s="70">
        <f t="shared" si="37"/>
        <v>155942</v>
      </c>
      <c r="AB182" s="70">
        <f t="shared" si="37"/>
        <v>20999523</v>
      </c>
      <c r="AC182" s="70">
        <f t="shared" si="37"/>
        <v>225984</v>
      </c>
      <c r="AD182" s="70">
        <f t="shared" si="37"/>
        <v>0</v>
      </c>
      <c r="AE182" s="70">
        <f t="shared" si="37"/>
        <v>45787707</v>
      </c>
      <c r="AF182" s="70">
        <f>AF7+AF10+AF14+AF20+AF29+AF55+AF59+AF70+AF75</f>
        <v>0</v>
      </c>
      <c r="AG182" s="68">
        <f t="shared" si="35"/>
        <v>0</v>
      </c>
    </row>
    <row r="183" spans="2:33" s="71" customFormat="1" ht="13.5" customHeight="1">
      <c r="B183" s="503" t="s">
        <v>355</v>
      </c>
      <c r="C183" s="504"/>
      <c r="D183" s="504"/>
      <c r="E183" s="505"/>
      <c r="F183" s="72">
        <f aca="true" t="shared" si="38" ref="F183:AE183">F182-F184</f>
        <v>23765642</v>
      </c>
      <c r="G183" s="72">
        <f t="shared" si="38"/>
        <v>7242281</v>
      </c>
      <c r="H183" s="72">
        <f t="shared" si="38"/>
        <v>12618374</v>
      </c>
      <c r="I183" s="72">
        <f t="shared" si="38"/>
        <v>0</v>
      </c>
      <c r="J183" s="72">
        <f t="shared" si="38"/>
        <v>58248</v>
      </c>
      <c r="K183" s="72">
        <f t="shared" si="38"/>
        <v>459514</v>
      </c>
      <c r="L183" s="72">
        <f t="shared" si="38"/>
        <v>56740</v>
      </c>
      <c r="M183" s="72">
        <f t="shared" si="38"/>
        <v>0</v>
      </c>
      <c r="N183" s="72">
        <f t="shared" si="38"/>
        <v>0</v>
      </c>
      <c r="O183" s="72">
        <f t="shared" si="38"/>
        <v>70000</v>
      </c>
      <c r="P183" s="72">
        <f t="shared" si="38"/>
        <v>1085804</v>
      </c>
      <c r="Q183" s="72">
        <f t="shared" si="38"/>
        <v>0</v>
      </c>
      <c r="R183" s="72">
        <f t="shared" si="38"/>
        <v>44775</v>
      </c>
      <c r="S183" s="72">
        <f t="shared" si="38"/>
        <v>0</v>
      </c>
      <c r="T183" s="72">
        <f t="shared" si="38"/>
        <v>45401378</v>
      </c>
      <c r="U183" s="72">
        <f t="shared" si="38"/>
        <v>13759961</v>
      </c>
      <c r="V183" s="72">
        <f t="shared" si="38"/>
        <v>744906</v>
      </c>
      <c r="W183" s="72">
        <f t="shared" si="38"/>
        <v>7045233</v>
      </c>
      <c r="X183" s="72">
        <f t="shared" si="38"/>
        <v>342192</v>
      </c>
      <c r="Y183" s="72">
        <f t="shared" si="38"/>
        <v>3691</v>
      </c>
      <c r="Z183" s="72">
        <f t="shared" si="38"/>
        <v>2255096</v>
      </c>
      <c r="AA183" s="72">
        <f t="shared" si="38"/>
        <v>24792</v>
      </c>
      <c r="AB183" s="72">
        <f t="shared" si="38"/>
        <v>20999523</v>
      </c>
      <c r="AC183" s="72">
        <f t="shared" si="38"/>
        <v>225984</v>
      </c>
      <c r="AD183" s="72">
        <f t="shared" si="38"/>
        <v>0</v>
      </c>
      <c r="AE183" s="72">
        <f t="shared" si="38"/>
        <v>45401378</v>
      </c>
      <c r="AF183" s="73"/>
      <c r="AG183" s="68">
        <f t="shared" si="35"/>
        <v>0</v>
      </c>
    </row>
    <row r="184" spans="2:33" s="71" customFormat="1" ht="12.75">
      <c r="B184" s="503" t="s">
        <v>276</v>
      </c>
      <c r="C184" s="504"/>
      <c r="D184" s="504"/>
      <c r="E184" s="505"/>
      <c r="F184" s="72">
        <f aca="true" t="shared" si="39" ref="F184:AF184">F68+F67+F64+F71+F73+F82+F108+F109+F110+F136+F137+F147+F148+F149+F150+F151+F152+F153+F154+F155+F156+F157+F158+F159+F160+F161+F162+F180+F74</f>
        <v>42929</v>
      </c>
      <c r="G184" s="72">
        <f t="shared" si="39"/>
        <v>12167</v>
      </c>
      <c r="H184" s="72">
        <f t="shared" si="39"/>
        <v>41845</v>
      </c>
      <c r="I184" s="72">
        <f t="shared" si="39"/>
        <v>0</v>
      </c>
      <c r="J184" s="72">
        <f t="shared" si="39"/>
        <v>0</v>
      </c>
      <c r="K184" s="72">
        <f t="shared" si="39"/>
        <v>10000</v>
      </c>
      <c r="L184" s="72">
        <f t="shared" si="39"/>
        <v>0</v>
      </c>
      <c r="M184" s="72">
        <f t="shared" si="39"/>
        <v>0</v>
      </c>
      <c r="N184" s="72">
        <f t="shared" si="39"/>
        <v>0</v>
      </c>
      <c r="O184" s="72">
        <f t="shared" si="39"/>
        <v>0</v>
      </c>
      <c r="P184" s="72">
        <f t="shared" si="39"/>
        <v>279388</v>
      </c>
      <c r="Q184" s="72">
        <f t="shared" si="39"/>
        <v>0</v>
      </c>
      <c r="R184" s="72">
        <f t="shared" si="39"/>
        <v>0</v>
      </c>
      <c r="S184" s="72">
        <f t="shared" si="39"/>
        <v>0</v>
      </c>
      <c r="T184" s="72">
        <f t="shared" si="39"/>
        <v>386329</v>
      </c>
      <c r="U184" s="72">
        <f t="shared" si="39"/>
        <v>0</v>
      </c>
      <c r="V184" s="72">
        <f t="shared" si="39"/>
        <v>0</v>
      </c>
      <c r="W184" s="72">
        <f t="shared" si="39"/>
        <v>19313</v>
      </c>
      <c r="X184" s="72">
        <f t="shared" si="39"/>
        <v>87628</v>
      </c>
      <c r="Y184" s="72">
        <f t="shared" si="39"/>
        <v>148238</v>
      </c>
      <c r="Z184" s="72">
        <f t="shared" si="39"/>
        <v>0</v>
      </c>
      <c r="AA184" s="72">
        <f t="shared" si="39"/>
        <v>131150</v>
      </c>
      <c r="AB184" s="72">
        <f t="shared" si="39"/>
        <v>0</v>
      </c>
      <c r="AC184" s="72">
        <f t="shared" si="39"/>
        <v>0</v>
      </c>
      <c r="AD184" s="72">
        <f t="shared" si="39"/>
        <v>0</v>
      </c>
      <c r="AE184" s="72">
        <f t="shared" si="39"/>
        <v>386329</v>
      </c>
      <c r="AF184" s="72">
        <f t="shared" si="39"/>
        <v>0</v>
      </c>
      <c r="AG184" s="68">
        <f t="shared" si="35"/>
        <v>0</v>
      </c>
    </row>
    <row r="185" spans="2:33" ht="12.75">
      <c r="B185" s="74"/>
      <c r="C185" s="75"/>
      <c r="D185" s="75"/>
      <c r="E185" s="76" t="s">
        <v>356</v>
      </c>
      <c r="F185" s="77">
        <v>23808571</v>
      </c>
      <c r="G185" s="77">
        <v>7254448</v>
      </c>
      <c r="H185" s="74">
        <v>12660219</v>
      </c>
      <c r="I185" s="74"/>
      <c r="J185" s="74">
        <v>58248</v>
      </c>
      <c r="K185" s="74">
        <v>469514</v>
      </c>
      <c r="L185" s="74">
        <v>56740</v>
      </c>
      <c r="M185" s="74"/>
      <c r="N185" s="74"/>
      <c r="O185" s="74">
        <v>70000</v>
      </c>
      <c r="P185" s="74">
        <v>1365192</v>
      </c>
      <c r="Q185" s="74"/>
      <c r="R185" s="74">
        <v>44775</v>
      </c>
      <c r="S185" s="74"/>
      <c r="T185" s="74">
        <v>45787707</v>
      </c>
      <c r="U185" s="74">
        <v>13759961</v>
      </c>
      <c r="V185" s="74">
        <v>744906</v>
      </c>
      <c r="W185" s="74">
        <v>7064546</v>
      </c>
      <c r="X185" s="74">
        <v>429820</v>
      </c>
      <c r="Y185" s="74">
        <v>151929</v>
      </c>
      <c r="Z185" s="74">
        <v>2255096</v>
      </c>
      <c r="AA185" s="74">
        <v>155942</v>
      </c>
      <c r="AB185" s="74">
        <v>20999523</v>
      </c>
      <c r="AC185" s="74">
        <v>225984</v>
      </c>
      <c r="AD185" s="74"/>
      <c r="AE185" s="74">
        <v>45787707</v>
      </c>
      <c r="AG185" s="68">
        <f t="shared" si="35"/>
        <v>0</v>
      </c>
    </row>
    <row r="186" spans="3:33" ht="12.75">
      <c r="C186" s="78"/>
      <c r="D186" s="78"/>
      <c r="E186" s="79" t="s">
        <v>357</v>
      </c>
      <c r="F186" s="80">
        <f aca="true" t="shared" si="40" ref="F186:AF186">F185-F182</f>
        <v>0</v>
      </c>
      <c r="G186" s="80">
        <f t="shared" si="40"/>
        <v>0</v>
      </c>
      <c r="H186" s="80">
        <f t="shared" si="40"/>
        <v>0</v>
      </c>
      <c r="I186" s="80">
        <f t="shared" si="40"/>
        <v>0</v>
      </c>
      <c r="J186" s="80">
        <f t="shared" si="40"/>
        <v>0</v>
      </c>
      <c r="K186" s="80">
        <f t="shared" si="40"/>
        <v>0</v>
      </c>
      <c r="L186" s="80">
        <f t="shared" si="40"/>
        <v>0</v>
      </c>
      <c r="M186" s="80">
        <f t="shared" si="40"/>
        <v>0</v>
      </c>
      <c r="N186" s="80">
        <f t="shared" si="40"/>
        <v>0</v>
      </c>
      <c r="O186" s="80">
        <f t="shared" si="40"/>
        <v>0</v>
      </c>
      <c r="P186" s="80">
        <f t="shared" si="40"/>
        <v>0</v>
      </c>
      <c r="Q186" s="80">
        <f t="shared" si="40"/>
        <v>0</v>
      </c>
      <c r="R186" s="80">
        <f t="shared" si="40"/>
        <v>0</v>
      </c>
      <c r="S186" s="80">
        <f t="shared" si="40"/>
        <v>0</v>
      </c>
      <c r="T186" s="80">
        <f t="shared" si="40"/>
        <v>0</v>
      </c>
      <c r="U186" s="80">
        <f t="shared" si="40"/>
        <v>0</v>
      </c>
      <c r="V186" s="80">
        <f t="shared" si="40"/>
        <v>0</v>
      </c>
      <c r="W186" s="80">
        <f t="shared" si="40"/>
        <v>0</v>
      </c>
      <c r="X186" s="80">
        <f t="shared" si="40"/>
        <v>0</v>
      </c>
      <c r="Y186" s="80">
        <f t="shared" si="40"/>
        <v>0</v>
      </c>
      <c r="Z186" s="80">
        <f t="shared" si="40"/>
        <v>0</v>
      </c>
      <c r="AA186" s="80">
        <f t="shared" si="40"/>
        <v>0</v>
      </c>
      <c r="AB186" s="80">
        <f t="shared" si="40"/>
        <v>0</v>
      </c>
      <c r="AC186" s="80">
        <f t="shared" si="40"/>
        <v>0</v>
      </c>
      <c r="AD186" s="80">
        <f t="shared" si="40"/>
        <v>0</v>
      </c>
      <c r="AE186" s="80">
        <f t="shared" si="40"/>
        <v>0</v>
      </c>
      <c r="AF186" s="80">
        <f t="shared" si="40"/>
        <v>0</v>
      </c>
      <c r="AG186" s="68">
        <f t="shared" si="35"/>
        <v>0</v>
      </c>
    </row>
    <row r="187" spans="3:33" ht="12.75">
      <c r="C187" s="78"/>
      <c r="D187" s="78"/>
      <c r="AG187" s="68"/>
    </row>
    <row r="188" spans="2:33" ht="12.75">
      <c r="B188" s="81"/>
      <c r="C188" s="78"/>
      <c r="D188" s="78"/>
      <c r="F188" s="82"/>
      <c r="G188" s="82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G188" s="68"/>
    </row>
    <row r="189" spans="3:33" ht="12.75">
      <c r="C189" s="84"/>
      <c r="D189" s="78"/>
      <c r="E189" s="79" t="s">
        <v>358</v>
      </c>
      <c r="F189" s="85">
        <f aca="true" t="shared" si="41" ref="F189:AF189">F3</f>
        <v>15581500</v>
      </c>
      <c r="G189" s="85">
        <f t="shared" si="41"/>
        <v>4935800</v>
      </c>
      <c r="H189" s="85">
        <f t="shared" si="41"/>
        <v>11228200</v>
      </c>
      <c r="I189" s="85">
        <f t="shared" si="41"/>
        <v>0</v>
      </c>
      <c r="J189" s="85">
        <f t="shared" si="41"/>
        <v>0</v>
      </c>
      <c r="K189" s="85">
        <f t="shared" si="41"/>
        <v>0</v>
      </c>
      <c r="L189" s="85">
        <f t="shared" si="41"/>
        <v>0</v>
      </c>
      <c r="M189" s="85">
        <f t="shared" si="41"/>
        <v>0</v>
      </c>
      <c r="N189" s="85">
        <f t="shared" si="41"/>
        <v>0</v>
      </c>
      <c r="O189" s="85">
        <f t="shared" si="41"/>
        <v>0</v>
      </c>
      <c r="P189" s="85">
        <f t="shared" si="41"/>
        <v>987500</v>
      </c>
      <c r="Q189" s="85">
        <f t="shared" si="41"/>
        <v>0</v>
      </c>
      <c r="R189" s="85">
        <f t="shared" si="41"/>
        <v>0</v>
      </c>
      <c r="S189" s="85">
        <f t="shared" si="41"/>
        <v>0</v>
      </c>
      <c r="T189" s="85">
        <f t="shared" si="41"/>
        <v>32733000</v>
      </c>
      <c r="U189" s="85">
        <f t="shared" si="41"/>
        <v>13562000</v>
      </c>
      <c r="V189" s="85">
        <f t="shared" si="41"/>
        <v>0</v>
      </c>
      <c r="W189" s="85">
        <f t="shared" si="41"/>
        <v>490000</v>
      </c>
      <c r="X189" s="85">
        <f t="shared" si="41"/>
        <v>0</v>
      </c>
      <c r="Y189" s="85">
        <f t="shared" si="41"/>
        <v>0</v>
      </c>
      <c r="Z189" s="85">
        <f t="shared" si="41"/>
        <v>2254400</v>
      </c>
      <c r="AA189" s="85">
        <f t="shared" si="41"/>
        <v>10000</v>
      </c>
      <c r="AB189" s="85">
        <f t="shared" si="41"/>
        <v>16416600</v>
      </c>
      <c r="AC189" s="85">
        <f t="shared" si="41"/>
        <v>0</v>
      </c>
      <c r="AD189" s="85">
        <f t="shared" si="41"/>
        <v>0</v>
      </c>
      <c r="AE189" s="85">
        <f t="shared" si="41"/>
        <v>32733000</v>
      </c>
      <c r="AF189" s="85">
        <f t="shared" si="41"/>
        <v>0</v>
      </c>
      <c r="AG189" s="68">
        <f aca="true" t="shared" si="42" ref="AG189:AG194">AE189-T189</f>
        <v>0</v>
      </c>
    </row>
    <row r="190" spans="3:33" ht="12.75">
      <c r="C190" s="84"/>
      <c r="D190" s="78"/>
      <c r="E190" s="79" t="s">
        <v>359</v>
      </c>
      <c r="F190" s="57">
        <f aca="true" t="shared" si="43" ref="F190:AE190">F9+F27+F28+F34+F38+F62+F63+F87+F99+F100+F107+F123+F146+F176+F175</f>
        <v>2446324</v>
      </c>
      <c r="G190" s="57">
        <f t="shared" si="43"/>
        <v>770729</v>
      </c>
      <c r="H190" s="57">
        <f t="shared" si="43"/>
        <v>0</v>
      </c>
      <c r="I190" s="57">
        <f t="shared" si="43"/>
        <v>0</v>
      </c>
      <c r="J190" s="57">
        <f t="shared" si="43"/>
        <v>0</v>
      </c>
      <c r="K190" s="57">
        <f t="shared" si="43"/>
        <v>2237</v>
      </c>
      <c r="L190" s="57">
        <f t="shared" si="43"/>
        <v>0</v>
      </c>
      <c r="M190" s="57">
        <f t="shared" si="43"/>
        <v>0</v>
      </c>
      <c r="N190" s="57">
        <f t="shared" si="43"/>
        <v>0</v>
      </c>
      <c r="O190" s="57">
        <f t="shared" si="43"/>
        <v>0</v>
      </c>
      <c r="P190" s="57">
        <f t="shared" si="43"/>
        <v>0</v>
      </c>
      <c r="Q190" s="57">
        <f t="shared" si="43"/>
        <v>0</v>
      </c>
      <c r="R190" s="57">
        <f t="shared" si="43"/>
        <v>0</v>
      </c>
      <c r="S190" s="57">
        <f t="shared" si="43"/>
        <v>0</v>
      </c>
      <c r="T190" s="57">
        <f t="shared" si="43"/>
        <v>3219290</v>
      </c>
      <c r="U190" s="57">
        <f t="shared" si="43"/>
        <v>0</v>
      </c>
      <c r="V190" s="57">
        <f t="shared" si="43"/>
        <v>0</v>
      </c>
      <c r="W190" s="57">
        <f t="shared" si="43"/>
        <v>0</v>
      </c>
      <c r="X190" s="57">
        <f t="shared" si="43"/>
        <v>0</v>
      </c>
      <c r="Y190" s="57">
        <f t="shared" si="43"/>
        <v>0</v>
      </c>
      <c r="Z190" s="57">
        <f t="shared" si="43"/>
        <v>0</v>
      </c>
      <c r="AA190" s="57">
        <f t="shared" si="43"/>
        <v>0</v>
      </c>
      <c r="AB190" s="57">
        <f t="shared" si="43"/>
        <v>3219290</v>
      </c>
      <c r="AC190" s="57">
        <f t="shared" si="43"/>
        <v>0</v>
      </c>
      <c r="AD190" s="57">
        <f t="shared" si="43"/>
        <v>0</v>
      </c>
      <c r="AE190" s="57">
        <f t="shared" si="43"/>
        <v>3219290</v>
      </c>
      <c r="AF190" s="57">
        <f>AF9+AF27+AF28+AF34+AF38+AF62+AF63+AF87+AF99+AF100+AF107+AF123</f>
        <v>0</v>
      </c>
      <c r="AG190" s="68">
        <f t="shared" si="42"/>
        <v>0</v>
      </c>
    </row>
    <row r="191" spans="3:33" ht="12.75">
      <c r="C191" s="84"/>
      <c r="D191" s="78"/>
      <c r="E191" s="79" t="s">
        <v>360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0</v>
      </c>
      <c r="AF191" s="57">
        <v>26</v>
      </c>
      <c r="AG191" s="68">
        <f t="shared" si="42"/>
        <v>0</v>
      </c>
    </row>
    <row r="192" spans="3:33" ht="12.75">
      <c r="C192" s="84"/>
      <c r="D192" s="78"/>
      <c r="E192" s="79" t="s">
        <v>361</v>
      </c>
      <c r="F192" s="57">
        <f aca="true" t="shared" si="44" ref="F192:Z192">F12+F13+F15+F19+F21+F24+F30+F35+F36+F37+F56+F61+F64+F67+F68+F69+F71+F72+F73+F74+F82+F83+F84+F110+F109+F108+F111+F136+F137+F147+F148+F149+F150+F151+F152+F153+F154+F155+F156+F157+F158+F159+F160+F161+F162+F180+F138</f>
        <v>1014784</v>
      </c>
      <c r="G192" s="57">
        <f t="shared" si="44"/>
        <v>265482</v>
      </c>
      <c r="H192" s="57">
        <f t="shared" si="44"/>
        <v>289706</v>
      </c>
      <c r="I192" s="57">
        <f t="shared" si="44"/>
        <v>0</v>
      </c>
      <c r="J192" s="57">
        <f t="shared" si="44"/>
        <v>0</v>
      </c>
      <c r="K192" s="57">
        <f t="shared" si="44"/>
        <v>10000</v>
      </c>
      <c r="L192" s="57">
        <f t="shared" si="44"/>
        <v>0</v>
      </c>
      <c r="M192" s="57">
        <f t="shared" si="44"/>
        <v>0</v>
      </c>
      <c r="N192" s="57">
        <f t="shared" si="44"/>
        <v>0</v>
      </c>
      <c r="O192" s="57">
        <f t="shared" si="44"/>
        <v>0</v>
      </c>
      <c r="P192" s="57">
        <f t="shared" si="44"/>
        <v>367951</v>
      </c>
      <c r="Q192" s="57">
        <f t="shared" si="44"/>
        <v>0</v>
      </c>
      <c r="R192" s="57">
        <f t="shared" si="44"/>
        <v>0</v>
      </c>
      <c r="S192" s="57">
        <f t="shared" si="44"/>
        <v>0</v>
      </c>
      <c r="T192" s="57">
        <f t="shared" si="44"/>
        <v>1947923</v>
      </c>
      <c r="U192" s="57">
        <f t="shared" si="44"/>
        <v>197961</v>
      </c>
      <c r="V192" s="57">
        <f t="shared" si="44"/>
        <v>0</v>
      </c>
      <c r="W192" s="57">
        <f t="shared" si="44"/>
        <v>19313</v>
      </c>
      <c r="X192" s="57">
        <f t="shared" si="44"/>
        <v>87628</v>
      </c>
      <c r="Y192" s="57">
        <f t="shared" si="44"/>
        <v>148238</v>
      </c>
      <c r="Z192" s="57">
        <f t="shared" si="44"/>
        <v>0</v>
      </c>
      <c r="AA192" s="57">
        <f>AA12+AA13+AA15+AA19+AA21+AA24+AA30+AA35+AA36+AA37+AA56+AA61+AA64+AA67+AA68+AA69+AA71+AA72+AA73+AA74+AA82+AA83+AA84+AA110+AA109+AA108+AA111+AA136+AA137+AA147+AA148+AA149+AA150+AA151+AA152+AA153+AA154+AA155+Y156+AA157+AA158+AA159+AA160+AA161+AA162+AA180+AA138</f>
        <v>137599</v>
      </c>
      <c r="AB192" s="57">
        <f>AB12+AB13+AB15+AB19+AB21+AB24+AB30+AB35+AB36+AB37+AB56+AB61+AB64+AB67+AB68+AB69+AB71+AB72+AB73+AB74+AB82+AB83+AB84+AB110+AB109+AB108+AB111+AB136+AB137+AB147+AB148+AB149+AB150+AB151+AB152+AB153+AB154+AB155+AB156+AB157+AB158+AB159+AB160+AB161+AB162+AB180+AB138</f>
        <v>1363633</v>
      </c>
      <c r="AC192" s="57">
        <f>AC12+AC13+AC15+AC19+AC21+AC24+AC30+AC35+AC36+AC37+AC56+AC61+AC64+AC67+AC68+AC69+AC71+AC72+AC73+AC74+AC82+AC83+AC84+AC110+AC109+AC108+AC111+AC136+AC137+AC147+AC148+AC149+AC150+AC151+AC152+AC153+AC154+AC155+AC156+AC157+AC158+AC159+AC160+AC161+AC162+AC180+AC138</f>
        <v>0</v>
      </c>
      <c r="AD192" s="57">
        <f>AD12+AD13+AD15+AD19+AD21+AD24+AD30+AD35+AD36+AD37+AD56+AD61+AD64+AD67+AD68+AD69+AD71+AD72+AD73+AD74+AD82+AD83+AD84+AD110+AD109+AD108+AD111+AD136+AD137+AD147+AD148+AD149+AD150+AD151+AD152+AD153+AD154+AD155+AD156+AD157+AD158+AD159+AD160+AD161+AD162+AD180+AD138</f>
        <v>0</v>
      </c>
      <c r="AE192" s="57">
        <f>AE12+AE13+AE15+AE19+AE21+AE24+AE30+AE35+AE36+AE37+AE56+AE61+AE64+AE67+AE68+AE69+AE71+AE72+AE73+AE74+AE82+AE83+AE84+AE110+AE109+AE108+AE111+AE136+AE137+AE147+AE148+AE149+AE150+AE151+AE152+AE153+AE154+AE155+AE156+AE157+AE158+AE159+AE160+AE161+AE162+AE180+AE138</f>
        <v>1947923</v>
      </c>
      <c r="AF192" s="57">
        <f>AF12+AF13+AF15+AF19+AF21+AF24+AF30+AF35+AF36+AF37+AF56+AF61+AF64+AF67+AF68+AF69+AF71+AF72+AF73+AF74+AF82+AF83+AF84+AF110+AF109+AF108+AF111+AF136+AF137+AF147+AF148+AF149+AF150+AF151+AF152+AF153+AF154+AF155+AF156+AF157+AF158+AF159+AF160+AF161+AF162+AF180</f>
        <v>0</v>
      </c>
      <c r="AG192" s="68">
        <f t="shared" si="42"/>
        <v>0</v>
      </c>
    </row>
    <row r="193" spans="3:33" ht="12.75">
      <c r="C193" s="84"/>
      <c r="D193" s="78"/>
      <c r="E193" s="79" t="s">
        <v>362</v>
      </c>
      <c r="F193" s="57">
        <f aca="true" t="shared" si="45" ref="F193:AE193">F4+F5+F6+F8+F11+F16+F17+F18+F22+F23+F25+F26+F31+F32+F33+F39+F40+F41+F42+F43+F44+F45+F46+F47+F48+F49+F50+F51+F52+F53+F54+F57+F58+F60+F65+F66+F76+F77+F78+F79+F80+F81+F86+F88+F89+F90+F91+F92+F93+F94+F95+F96+F97+F98+F101+F102+F103+F104+F105+F106+F112+F113+F114+F115+F116+F117+F118+F119+F120+F121+F124+F125+F126+F127+F128+F129+F130+F131+F132+F133+F134+F135+F139+F140+F141+F142+F143+F144+F145+F163+F166+F177+F164+F165+F167+F168+F170+F171+F172+F173+F174+F169+F178+F179</f>
        <v>4765963</v>
      </c>
      <c r="G193" s="57">
        <f t="shared" si="45"/>
        <v>1282437</v>
      </c>
      <c r="H193" s="57">
        <f t="shared" si="45"/>
        <v>1142313</v>
      </c>
      <c r="I193" s="57">
        <f t="shared" si="45"/>
        <v>0</v>
      </c>
      <c r="J193" s="57">
        <f t="shared" si="45"/>
        <v>58248</v>
      </c>
      <c r="K193" s="57">
        <f t="shared" si="45"/>
        <v>457277</v>
      </c>
      <c r="L193" s="57">
        <f t="shared" si="45"/>
        <v>56740</v>
      </c>
      <c r="M193" s="57">
        <f t="shared" si="45"/>
        <v>0</v>
      </c>
      <c r="N193" s="57">
        <f t="shared" si="45"/>
        <v>0</v>
      </c>
      <c r="O193" s="57">
        <f t="shared" si="45"/>
        <v>70000</v>
      </c>
      <c r="P193" s="57">
        <f t="shared" si="45"/>
        <v>9741</v>
      </c>
      <c r="Q193" s="57">
        <f t="shared" si="45"/>
        <v>0</v>
      </c>
      <c r="R193" s="57">
        <f t="shared" si="45"/>
        <v>44775</v>
      </c>
      <c r="S193" s="57">
        <f t="shared" si="45"/>
        <v>0</v>
      </c>
      <c r="T193" s="57">
        <f t="shared" si="45"/>
        <v>7887494</v>
      </c>
      <c r="U193" s="57">
        <f t="shared" si="45"/>
        <v>0</v>
      </c>
      <c r="V193" s="57">
        <f t="shared" si="45"/>
        <v>744906</v>
      </c>
      <c r="W193" s="57">
        <f t="shared" si="45"/>
        <v>6555233</v>
      </c>
      <c r="X193" s="57">
        <f t="shared" si="45"/>
        <v>342192</v>
      </c>
      <c r="Y193" s="57">
        <f t="shared" si="45"/>
        <v>3691</v>
      </c>
      <c r="Z193" s="57">
        <f t="shared" si="45"/>
        <v>696</v>
      </c>
      <c r="AA193" s="57">
        <f t="shared" si="45"/>
        <v>14792</v>
      </c>
      <c r="AB193" s="57">
        <f t="shared" si="45"/>
        <v>0</v>
      </c>
      <c r="AC193" s="57">
        <f t="shared" si="45"/>
        <v>225984</v>
      </c>
      <c r="AD193" s="57">
        <f t="shared" si="45"/>
        <v>0</v>
      </c>
      <c r="AE193" s="57">
        <f t="shared" si="45"/>
        <v>7887494</v>
      </c>
      <c r="AF193" s="57">
        <f>AF4+AF5+AF6+AF8+AF11+AF16+AF17+AF18+AF22+AF25+AF26+AF31+AF32+AF33+AF39+AF40+AF41+AF42+AF43+AF44+AF45+AF46+AF47+AF48+AF49+AF50+AF51+AF52+AF53+AF54+AF57+AF58+AF60+AF65+AF66+AF76+AF77+AF78+AF79+AF80+AF81+AF88+AF89+AF90+AF91+AF93+AF94+AF95+AF96+AF97+AF98+AF101+AF102+AF103+AF104+AF105+AF106+AF112+AF113+AF114+AF115+AF116+AF117+AF118+AF119+AF120+AF121</f>
        <v>0</v>
      </c>
      <c r="AG193" s="68">
        <f t="shared" si="42"/>
        <v>0</v>
      </c>
    </row>
    <row r="194" spans="3:33" ht="12.75">
      <c r="C194" s="84"/>
      <c r="D194" s="78"/>
      <c r="E194" s="86" t="s">
        <v>363</v>
      </c>
      <c r="F194" s="87">
        <f aca="true" t="shared" si="46" ref="F194:AE194">SUM(F189:F193)</f>
        <v>23808571</v>
      </c>
      <c r="G194" s="87">
        <f t="shared" si="46"/>
        <v>7254448</v>
      </c>
      <c r="H194" s="87">
        <f t="shared" si="46"/>
        <v>12660219</v>
      </c>
      <c r="I194" s="87">
        <f t="shared" si="46"/>
        <v>0</v>
      </c>
      <c r="J194" s="87">
        <f t="shared" si="46"/>
        <v>58248</v>
      </c>
      <c r="K194" s="87">
        <f t="shared" si="46"/>
        <v>469514</v>
      </c>
      <c r="L194" s="87">
        <f t="shared" si="46"/>
        <v>56740</v>
      </c>
      <c r="M194" s="87">
        <f t="shared" si="46"/>
        <v>0</v>
      </c>
      <c r="N194" s="87">
        <f t="shared" si="46"/>
        <v>0</v>
      </c>
      <c r="O194" s="87">
        <f t="shared" si="46"/>
        <v>70000</v>
      </c>
      <c r="P194" s="87">
        <f t="shared" si="46"/>
        <v>1365192</v>
      </c>
      <c r="Q194" s="87">
        <f t="shared" si="46"/>
        <v>0</v>
      </c>
      <c r="R194" s="87">
        <f t="shared" si="46"/>
        <v>44775</v>
      </c>
      <c r="S194" s="87">
        <f t="shared" si="46"/>
        <v>0</v>
      </c>
      <c r="T194" s="87">
        <f t="shared" si="46"/>
        <v>45787707</v>
      </c>
      <c r="U194" s="87">
        <f t="shared" si="46"/>
        <v>13759961</v>
      </c>
      <c r="V194" s="87">
        <f t="shared" si="46"/>
        <v>744906</v>
      </c>
      <c r="W194" s="87">
        <f t="shared" si="46"/>
        <v>7064546</v>
      </c>
      <c r="X194" s="87">
        <f t="shared" si="46"/>
        <v>429820</v>
      </c>
      <c r="Y194" s="87">
        <f t="shared" si="46"/>
        <v>151929</v>
      </c>
      <c r="Z194" s="87">
        <f t="shared" si="46"/>
        <v>2255096</v>
      </c>
      <c r="AA194" s="87">
        <f t="shared" si="46"/>
        <v>162391</v>
      </c>
      <c r="AB194" s="87">
        <f t="shared" si="46"/>
        <v>20999523</v>
      </c>
      <c r="AC194" s="87">
        <f t="shared" si="46"/>
        <v>225984</v>
      </c>
      <c r="AD194" s="87">
        <f t="shared" si="46"/>
        <v>0</v>
      </c>
      <c r="AE194" s="87">
        <f t="shared" si="46"/>
        <v>45787707</v>
      </c>
      <c r="AG194" s="68">
        <f t="shared" si="42"/>
        <v>0</v>
      </c>
    </row>
    <row r="195" ht="12.75">
      <c r="D195" s="78"/>
    </row>
    <row r="196" ht="12.75">
      <c r="D196" s="78"/>
    </row>
    <row r="197" ht="12.75">
      <c r="D197" s="78"/>
    </row>
    <row r="198" ht="12.75">
      <c r="D198" s="78"/>
    </row>
    <row r="199" ht="12.75">
      <c r="D199" s="78"/>
    </row>
    <row r="200" ht="12.75">
      <c r="D200" s="78"/>
    </row>
    <row r="201" ht="12.75">
      <c r="D201" s="78"/>
    </row>
    <row r="202" ht="12.75">
      <c r="D202" s="78"/>
    </row>
    <row r="203" ht="12.75">
      <c r="D203" s="78"/>
    </row>
  </sheetData>
  <sheetProtection password="EE36" sheet="1" formatCells="0" formatColumns="0" formatRows="0" insertColumns="0" insertRows="0" insertHyperlinks="0" deleteColumns="0" deleteRows="0" sort="0" autoFilter="0" pivotTables="0"/>
  <mergeCells count="46">
    <mergeCell ref="B183:E183"/>
    <mergeCell ref="B184:E184"/>
    <mergeCell ref="B29:E29"/>
    <mergeCell ref="B55:E55"/>
    <mergeCell ref="B59:E59"/>
    <mergeCell ref="B70:E70"/>
    <mergeCell ref="B75:E75"/>
    <mergeCell ref="B85:E85"/>
    <mergeCell ref="B122:E122"/>
    <mergeCell ref="B181:E181"/>
    <mergeCell ref="B182:E182"/>
    <mergeCell ref="AD1:AD2"/>
    <mergeCell ref="AE1:AE2"/>
    <mergeCell ref="B7:E7"/>
    <mergeCell ref="B10:E10"/>
    <mergeCell ref="Z1:Z2"/>
    <mergeCell ref="AA1:AA2"/>
    <mergeCell ref="AB1:AB2"/>
    <mergeCell ref="AC1:AC2"/>
    <mergeCell ref="L1:L2"/>
    <mergeCell ref="M1:M2"/>
    <mergeCell ref="X1:X2"/>
    <mergeCell ref="Y1:Y2"/>
    <mergeCell ref="R1:R2"/>
    <mergeCell ref="S1:S2"/>
    <mergeCell ref="T1:T2"/>
    <mergeCell ref="U1:U2"/>
    <mergeCell ref="V1:V2"/>
    <mergeCell ref="W1:W2"/>
    <mergeCell ref="P1:P2"/>
    <mergeCell ref="Q1:Q2"/>
    <mergeCell ref="B14:E14"/>
    <mergeCell ref="B20:E20"/>
    <mergeCell ref="H1:H2"/>
    <mergeCell ref="I1:I2"/>
    <mergeCell ref="N1:N2"/>
    <mergeCell ref="O1:O2"/>
    <mergeCell ref="J1:J2"/>
    <mergeCell ref="K1:K2"/>
    <mergeCell ref="D1:D2"/>
    <mergeCell ref="E1:E2"/>
    <mergeCell ref="F1:F2"/>
    <mergeCell ref="G1:G2"/>
    <mergeCell ref="A1:A2"/>
    <mergeCell ref="B1:B2"/>
    <mergeCell ref="C1:C2"/>
  </mergeCells>
  <printOptions horizontalCentered="1"/>
  <pageMargins left="0.15748031496062992" right="0.15748031496062992" top="0.6692913385826772" bottom="0" header="0.15748031496062992" footer="0"/>
  <pageSetup horizontalDpi="600" verticalDpi="600" orientation="landscape" paperSize="8" scale="55" r:id="rId1"/>
  <headerFooter alignWithMargins="0">
    <oddHeader>&amp;L&amp;"Times New Roman,Normál"&amp;14Mezőgazdasági Szakigazgatási Hivatal&amp;C&amp;"Times New Roman,Félkövér"&amp;16Előirányzat-nyilvántartás
2008.
(adatok ezer Ft-ban)&amp;R&amp;"Times New Roman,Normál"&amp;22 2. számú melléklet</oddHeader>
    <oddFooter>&amp;L&amp;14&amp;P/&amp;N</oddFooter>
  </headerFooter>
  <rowBreaks count="1" manualBreakCount="1">
    <brk id="108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SheetLayoutView="90" zoomScalePageLayoutView="0" workbookViewId="0" topLeftCell="A1">
      <selection activeCell="Z20" sqref="Z20"/>
    </sheetView>
  </sheetViews>
  <sheetFormatPr defaultColWidth="8.00390625" defaultRowHeight="15"/>
  <cols>
    <col min="1" max="1" width="13.140625" style="407" customWidth="1"/>
    <col min="2" max="2" width="44.8515625" style="407" customWidth="1"/>
    <col min="3" max="3" width="15.421875" style="407" customWidth="1"/>
    <col min="4" max="4" width="13.140625" style="418" customWidth="1"/>
    <col min="5" max="5" width="11.421875" style="418" hidden="1" customWidth="1"/>
    <col min="6" max="6" width="6.7109375" style="407" hidden="1" customWidth="1"/>
    <col min="7" max="7" width="12.8515625" style="407" hidden="1" customWidth="1"/>
    <col min="8" max="8" width="12.140625" style="407" hidden="1" customWidth="1"/>
    <col min="9" max="9" width="10.140625" style="407" hidden="1" customWidth="1"/>
    <col min="10" max="11" width="9.57421875" style="407" hidden="1" customWidth="1"/>
    <col min="12" max="13" width="10.140625" style="407" hidden="1" customWidth="1"/>
    <col min="14" max="14" width="11.8515625" style="407" hidden="1" customWidth="1"/>
    <col min="15" max="18" width="11.8515625" style="457" hidden="1" customWidth="1"/>
    <col min="19" max="19" width="11.8515625" style="458" hidden="1" customWidth="1"/>
    <col min="20" max="20" width="10.140625" style="407" hidden="1" customWidth="1"/>
    <col min="21" max="21" width="12.421875" style="413" hidden="1" customWidth="1"/>
    <col min="22" max="22" width="13.57421875" style="413" hidden="1" customWidth="1"/>
    <col min="23" max="23" width="10.140625" style="413" hidden="1" customWidth="1"/>
    <col min="24" max="25" width="0" style="407" hidden="1" customWidth="1"/>
    <col min="26" max="26" width="12.140625" style="407" customWidth="1"/>
    <col min="27" max="16384" width="8.00390625" style="407" customWidth="1"/>
  </cols>
  <sheetData>
    <row r="1" spans="1:23" s="397" customFormat="1" ht="13.5" thickTop="1">
      <c r="A1" s="394"/>
      <c r="B1" s="394"/>
      <c r="C1" s="394"/>
      <c r="D1" s="395" t="s">
        <v>22</v>
      </c>
      <c r="E1" s="396"/>
      <c r="I1" s="395" t="s">
        <v>595</v>
      </c>
      <c r="J1" s="395" t="s">
        <v>596</v>
      </c>
      <c r="K1" s="394" t="s">
        <v>597</v>
      </c>
      <c r="L1" s="394" t="s">
        <v>598</v>
      </c>
      <c r="M1" s="398" t="s">
        <v>599</v>
      </c>
      <c r="N1" s="399" t="s">
        <v>600</v>
      </c>
      <c r="O1" s="400" t="s">
        <v>601</v>
      </c>
      <c r="P1" s="401" t="s">
        <v>602</v>
      </c>
      <c r="Q1" s="401" t="s">
        <v>603</v>
      </c>
      <c r="R1" s="401" t="s">
        <v>604</v>
      </c>
      <c r="S1" s="402" t="s">
        <v>605</v>
      </c>
      <c r="T1" s="403"/>
      <c r="U1" s="404" t="s">
        <v>606</v>
      </c>
      <c r="V1" s="404" t="s">
        <v>607</v>
      </c>
      <c r="W1" s="404" t="s">
        <v>608</v>
      </c>
    </row>
    <row r="2" spans="1:20" ht="12.75">
      <c r="A2" s="618" t="s">
        <v>609</v>
      </c>
      <c r="B2" s="620" t="s">
        <v>610</v>
      </c>
      <c r="C2" s="405" t="s">
        <v>611</v>
      </c>
      <c r="D2" s="406">
        <v>0</v>
      </c>
      <c r="E2" s="396"/>
      <c r="I2" s="408"/>
      <c r="J2" s="408"/>
      <c r="O2" s="409"/>
      <c r="P2" s="410"/>
      <c r="Q2" s="410"/>
      <c r="R2" s="410"/>
      <c r="S2" s="411"/>
      <c r="T2" s="412"/>
    </row>
    <row r="3" spans="1:20" ht="13.5" thickBot="1">
      <c r="A3" s="619"/>
      <c r="B3" s="620"/>
      <c r="C3" s="405" t="s">
        <v>612</v>
      </c>
      <c r="D3" s="414">
        <f>108243+120000+13049+25746</f>
        <v>267038</v>
      </c>
      <c r="E3" s="396"/>
      <c r="I3" s="408"/>
      <c r="J3" s="408"/>
      <c r="O3" s="409"/>
      <c r="P3" s="410"/>
      <c r="Q3" s="410"/>
      <c r="R3" s="410"/>
      <c r="S3" s="411"/>
      <c r="T3" s="412"/>
    </row>
    <row r="4" spans="1:24" s="418" customFormat="1" ht="13.5" thickBot="1">
      <c r="A4" s="619"/>
      <c r="B4" s="620"/>
      <c r="C4" s="415" t="s">
        <v>523</v>
      </c>
      <c r="D4" s="416">
        <f>SUM(D2:D3)</f>
        <v>267038</v>
      </c>
      <c r="E4" s="417"/>
      <c r="I4" s="418">
        <v>49687</v>
      </c>
      <c r="J4" s="408">
        <v>36000</v>
      </c>
      <c r="K4" s="418">
        <v>22556</v>
      </c>
      <c r="L4" s="418">
        <v>0</v>
      </c>
      <c r="M4" s="418">
        <v>120000</v>
      </c>
      <c r="N4" s="418">
        <v>13049</v>
      </c>
      <c r="O4" s="419">
        <v>25746</v>
      </c>
      <c r="P4" s="420">
        <v>0</v>
      </c>
      <c r="Q4" s="420"/>
      <c r="R4" s="420"/>
      <c r="S4" s="421">
        <f>P4+Q4+R4</f>
        <v>0</v>
      </c>
      <c r="T4" s="422">
        <f>O4+P4+Q4+R4</f>
        <v>25746</v>
      </c>
      <c r="U4" s="423">
        <v>241292</v>
      </c>
      <c r="V4" s="423"/>
      <c r="W4" s="423"/>
      <c r="X4" s="418" t="s">
        <v>613</v>
      </c>
    </row>
    <row r="5" spans="1:21" ht="12.75">
      <c r="A5" s="619"/>
      <c r="B5" s="620" t="s">
        <v>614</v>
      </c>
      <c r="C5" s="405" t="s">
        <v>611</v>
      </c>
      <c r="D5" s="406">
        <v>0</v>
      </c>
      <c r="E5" s="396"/>
      <c r="I5" s="418"/>
      <c r="J5" s="408"/>
      <c r="O5" s="424"/>
      <c r="P5" s="425"/>
      <c r="Q5" s="425"/>
      <c r="R5" s="425"/>
      <c r="S5" s="426"/>
      <c r="T5" s="422"/>
      <c r="U5" s="423"/>
    </row>
    <row r="6" spans="1:21" ht="13.5" thickBot="1">
      <c r="A6" s="619"/>
      <c r="B6" s="620"/>
      <c r="C6" s="405" t="s">
        <v>612</v>
      </c>
      <c r="D6" s="414">
        <f>4014984+16102+10819+34170+1362+54411+1073543+11242+3000+725397+32640+34165+450+11242+10837+152374+2000+69277+77675-13315</f>
        <v>6322375</v>
      </c>
      <c r="E6" s="408"/>
      <c r="I6" s="418"/>
      <c r="J6" s="408"/>
      <c r="O6" s="424"/>
      <c r="P6" s="425"/>
      <c r="Q6" s="425"/>
      <c r="R6" s="425"/>
      <c r="S6" s="426"/>
      <c r="T6" s="422"/>
      <c r="U6" s="423"/>
    </row>
    <row r="7" spans="1:24" s="418" customFormat="1" ht="13.5" thickBot="1">
      <c r="A7" s="619"/>
      <c r="B7" s="620"/>
      <c r="C7" s="415" t="s">
        <v>523</v>
      </c>
      <c r="D7" s="416">
        <f>D5+D6</f>
        <v>6322375</v>
      </c>
      <c r="E7" s="408"/>
      <c r="I7" s="418">
        <v>1738711</v>
      </c>
      <c r="J7" s="408">
        <v>1199795</v>
      </c>
      <c r="K7" s="418">
        <v>0</v>
      </c>
      <c r="L7" s="418">
        <v>1229982</v>
      </c>
      <c r="M7" s="418">
        <v>116864</v>
      </c>
      <c r="N7" s="418">
        <v>1813182</v>
      </c>
      <c r="O7" s="419">
        <v>0</v>
      </c>
      <c r="P7" s="420">
        <v>241708</v>
      </c>
      <c r="Q7" s="420">
        <v>148952</v>
      </c>
      <c r="R7" s="420">
        <v>-13315</v>
      </c>
      <c r="S7" s="421">
        <f>P7+Q7+R7</f>
        <v>377345</v>
      </c>
      <c r="T7" s="422">
        <f>O7+P7+Q7+R7</f>
        <v>377345</v>
      </c>
      <c r="U7" s="427">
        <f>+I7+J7+K7+L7+M7+N7</f>
        <v>6098534</v>
      </c>
      <c r="V7" s="423">
        <v>-153504</v>
      </c>
      <c r="W7" s="423">
        <f>U7+V7</f>
        <v>5945030</v>
      </c>
      <c r="X7" s="418" t="s">
        <v>615</v>
      </c>
    </row>
    <row r="8" spans="1:23" ht="12.75">
      <c r="A8" s="619"/>
      <c r="B8" s="620" t="s">
        <v>616</v>
      </c>
      <c r="C8" s="405" t="s">
        <v>611</v>
      </c>
      <c r="D8" s="406">
        <f>1964654+9827912+30000+12500+742357+742357</f>
        <v>13319780</v>
      </c>
      <c r="E8" s="396"/>
      <c r="I8" s="418"/>
      <c r="J8" s="408"/>
      <c r="O8" s="424"/>
      <c r="P8" s="425"/>
      <c r="Q8" s="425"/>
      <c r="R8" s="425"/>
      <c r="S8" s="426"/>
      <c r="T8" s="422"/>
      <c r="U8" s="423"/>
      <c r="W8" s="413">
        <v>5945030</v>
      </c>
    </row>
    <row r="9" spans="1:21" ht="13.5" thickBot="1">
      <c r="A9" s="619"/>
      <c r="B9" s="620"/>
      <c r="C9" s="405" t="s">
        <v>612</v>
      </c>
      <c r="D9" s="414">
        <f>12692191+32946+9590+10474+59946+10869+73166+51170+258288+30285+18924+479524+44425+17232+599893+25542+19213+178445+8781+20313+59558+12881+21916+99613+1333-5017+4960+7069-8781+618820-705801+2175100-2274980</f>
        <v>14647888</v>
      </c>
      <c r="E9" s="396"/>
      <c r="I9" s="418"/>
      <c r="J9" s="408"/>
      <c r="O9" s="424"/>
      <c r="P9" s="425"/>
      <c r="Q9" s="425"/>
      <c r="R9" s="425"/>
      <c r="S9" s="426"/>
      <c r="T9" s="422"/>
      <c r="U9" s="423"/>
    </row>
    <row r="10" spans="1:24" s="418" customFormat="1" ht="13.5" thickBot="1">
      <c r="A10" s="619"/>
      <c r="B10" s="620"/>
      <c r="C10" s="415" t="s">
        <v>523</v>
      </c>
      <c r="D10" s="416">
        <f>SUM(D8:D9)</f>
        <v>27967668</v>
      </c>
      <c r="E10" s="417"/>
      <c r="I10" s="418">
        <v>8232865</v>
      </c>
      <c r="J10" s="408">
        <v>2949719</v>
      </c>
      <c r="K10" s="418">
        <v>405449</v>
      </c>
      <c r="L10" s="418">
        <v>3068812</v>
      </c>
      <c r="M10" s="418">
        <v>506449</v>
      </c>
      <c r="N10" s="418">
        <v>10356645</v>
      </c>
      <c r="O10" s="419">
        <v>44425</v>
      </c>
      <c r="P10" s="420">
        <v>899419</v>
      </c>
      <c r="Q10" s="420">
        <v>948825</v>
      </c>
      <c r="R10" s="420">
        <f>742357+1333-5017+4960+7069-8781+618820-705801+2175100-2274980</f>
        <v>555060</v>
      </c>
      <c r="S10" s="421">
        <f>P10+Q10+R10</f>
        <v>2403304</v>
      </c>
      <c r="T10" s="422">
        <f>O10+P10+Q10+R10</f>
        <v>2447729</v>
      </c>
      <c r="U10" s="423">
        <v>25519939</v>
      </c>
      <c r="V10" s="423"/>
      <c r="W10" s="423"/>
      <c r="X10" s="418" t="s">
        <v>617</v>
      </c>
    </row>
    <row r="11" spans="1:23" s="418" customFormat="1" ht="12.75">
      <c r="A11" s="619"/>
      <c r="B11" s="620" t="s">
        <v>618</v>
      </c>
      <c r="C11" s="405" t="s">
        <v>611</v>
      </c>
      <c r="D11" s="406">
        <f>3137801+25200+11608</f>
        <v>3174609</v>
      </c>
      <c r="E11" s="396"/>
      <c r="J11" s="408"/>
      <c r="O11" s="419"/>
      <c r="P11" s="420"/>
      <c r="Q11" s="420"/>
      <c r="R11" s="420"/>
      <c r="S11" s="421"/>
      <c r="T11" s="422"/>
      <c r="U11" s="423"/>
      <c r="V11" s="423"/>
      <c r="W11" s="423"/>
    </row>
    <row r="12" spans="1:23" s="418" customFormat="1" ht="13.5" thickBot="1">
      <c r="A12" s="619"/>
      <c r="B12" s="620"/>
      <c r="C12" s="405" t="s">
        <v>612</v>
      </c>
      <c r="D12" s="414">
        <f>16772959-15000+76854+433968+31896+4400+352787+102964+39114+6976+636982+11352+5410+362067+287100+72960+490947+42618+4621+418968+84336+42364+10500+8000+9514+11417+33424+145901+179965+9367+294448+13315+455317+19595-85833+85675-546514+545372</f>
        <v>21456106</v>
      </c>
      <c r="E12" s="428"/>
      <c r="G12" s="429"/>
      <c r="J12" s="408"/>
      <c r="O12" s="419"/>
      <c r="P12" s="420"/>
      <c r="Q12" s="420"/>
      <c r="R12" s="420"/>
      <c r="S12" s="421"/>
      <c r="T12" s="422"/>
      <c r="U12" s="423"/>
      <c r="V12" s="423"/>
      <c r="W12" s="423"/>
    </row>
    <row r="13" spans="1:24" s="418" customFormat="1" ht="13.5" thickBot="1">
      <c r="A13" s="619"/>
      <c r="B13" s="620"/>
      <c r="C13" s="415" t="s">
        <v>523</v>
      </c>
      <c r="D13" s="416">
        <f>SUM(D11:D12)</f>
        <v>24630715</v>
      </c>
      <c r="E13" s="417"/>
      <c r="I13" s="418">
        <v>15951661</v>
      </c>
      <c r="J13" s="408">
        <v>2286428</v>
      </c>
      <c r="K13" s="418">
        <v>306341</v>
      </c>
      <c r="L13" s="418">
        <v>1197826</v>
      </c>
      <c r="M13" s="418">
        <v>1685941</v>
      </c>
      <c r="N13" s="418">
        <v>1255036</v>
      </c>
      <c r="O13" s="419">
        <v>0</v>
      </c>
      <c r="P13" s="420">
        <v>855094</v>
      </c>
      <c r="Q13" s="420">
        <f>145901+294448</f>
        <v>440349</v>
      </c>
      <c r="R13" s="420">
        <f>13315+455317+19595-85833+85675-546514+545372+11608</f>
        <v>498535</v>
      </c>
      <c r="S13" s="421">
        <f>P13+Q13+R13</f>
        <v>1793978</v>
      </c>
      <c r="T13" s="422">
        <f>O13+P13+Q13+R13</f>
        <v>1793978</v>
      </c>
      <c r="U13" s="430">
        <v>22683233</v>
      </c>
      <c r="V13" s="431"/>
      <c r="W13" s="423">
        <f>W14+V13+V14+V15+V16+V17+V18</f>
        <v>22836737</v>
      </c>
      <c r="X13" s="418" t="s">
        <v>619</v>
      </c>
    </row>
    <row r="14" spans="1:23" s="418" customFormat="1" ht="12.75">
      <c r="A14" s="619"/>
      <c r="B14" s="620" t="s">
        <v>620</v>
      </c>
      <c r="C14" s="405" t="s">
        <v>611</v>
      </c>
      <c r="D14" s="406">
        <f>937450+4956+5837+10810+125016+104180+13420+16486+15428</f>
        <v>1233583</v>
      </c>
      <c r="E14" s="417"/>
      <c r="J14" s="408"/>
      <c r="O14" s="419"/>
      <c r="P14" s="420"/>
      <c r="Q14" s="420"/>
      <c r="R14" s="420"/>
      <c r="S14" s="421"/>
      <c r="T14" s="422"/>
      <c r="U14" s="423"/>
      <c r="V14" s="430"/>
      <c r="W14" s="423">
        <v>47289599</v>
      </c>
    </row>
    <row r="15" spans="1:22" s="418" customFormat="1" ht="13.5" thickBot="1">
      <c r="A15" s="619"/>
      <c r="B15" s="620"/>
      <c r="C15" s="405" t="s">
        <v>612</v>
      </c>
      <c r="D15" s="414">
        <f>267872+32000+99009+97475+105894+18414+5867+117551+131679-133041+262046+223450+210830+194711+399665+200461+566810+393617+51285+27652+181308+128894+1063904+328357+12852+97540+11324+5000+474921+94556+100516+33137+452242+391509+197218+2457854+1228972+109539+53503+138667+32640+11486+469016+219919+43858+123364+418968+677246+183089+20716093-455317</f>
        <v>33275422</v>
      </c>
      <c r="E15" s="417"/>
      <c r="J15" s="408"/>
      <c r="O15" s="419"/>
      <c r="P15" s="420"/>
      <c r="Q15" s="420"/>
      <c r="R15" s="420"/>
      <c r="S15" s="421"/>
      <c r="T15" s="422"/>
      <c r="U15" s="423"/>
      <c r="V15" s="430">
        <v>-12436211</v>
      </c>
    </row>
    <row r="16" spans="1:24" s="418" customFormat="1" ht="13.5" thickBot="1">
      <c r="A16" s="619"/>
      <c r="B16" s="620"/>
      <c r="C16" s="415" t="s">
        <v>523</v>
      </c>
      <c r="D16" s="416">
        <f>SUM(D14:D15)</f>
        <v>34509005</v>
      </c>
      <c r="E16" s="417"/>
      <c r="I16" s="418">
        <v>0</v>
      </c>
      <c r="J16" s="418">
        <v>0</v>
      </c>
      <c r="K16" s="418">
        <v>0</v>
      </c>
      <c r="L16" s="418">
        <v>1205322</v>
      </c>
      <c r="M16" s="418">
        <v>1387488</v>
      </c>
      <c r="N16" s="418">
        <v>8022777</v>
      </c>
      <c r="O16" s="419">
        <v>3617214</v>
      </c>
      <c r="P16" s="420"/>
      <c r="Q16" s="420">
        <v>20716093</v>
      </c>
      <c r="R16" s="420">
        <f>-455317+15428</f>
        <v>-439889</v>
      </c>
      <c r="S16" s="421">
        <f>P16+Q16+R16</f>
        <v>20276204</v>
      </c>
      <c r="T16" s="422">
        <f>O16+P16+Q16+R16</f>
        <v>23893418</v>
      </c>
      <c r="U16" s="423">
        <v>10615587</v>
      </c>
      <c r="V16" s="430">
        <v>-3488000</v>
      </c>
      <c r="X16" s="418" t="s">
        <v>621</v>
      </c>
    </row>
    <row r="17" spans="1:23" s="418" customFormat="1" ht="12.75">
      <c r="A17" s="619"/>
      <c r="B17" s="620" t="s">
        <v>622</v>
      </c>
      <c r="C17" s="405" t="s">
        <v>611</v>
      </c>
      <c r="D17" s="406">
        <v>77756</v>
      </c>
      <c r="E17" s="396"/>
      <c r="J17" s="408"/>
      <c r="O17" s="419"/>
      <c r="P17" s="420"/>
      <c r="Q17" s="420"/>
      <c r="R17" s="420"/>
      <c r="S17" s="421"/>
      <c r="T17" s="422">
        <f>T16-10889446+353495</f>
        <v>13357467</v>
      </c>
      <c r="U17" s="423">
        <f>U16+10889446-353495</f>
        <v>21151538</v>
      </c>
      <c r="V17" s="430">
        <v>-5000000</v>
      </c>
      <c r="W17" s="423"/>
    </row>
    <row r="18" spans="1:23" s="418" customFormat="1" ht="13.5" thickBot="1">
      <c r="A18" s="619"/>
      <c r="B18" s="620"/>
      <c r="C18" s="405" t="s">
        <v>612</v>
      </c>
      <c r="D18" s="414">
        <f>274646+24565+4673+204+264+4592+187+33469+4782+8606+28511+1658+57+99880+86981+1712-20495+900+158+1142</f>
        <v>556492</v>
      </c>
      <c r="E18" s="396"/>
      <c r="J18" s="408"/>
      <c r="O18" s="419"/>
      <c r="P18" s="420"/>
      <c r="Q18" s="420"/>
      <c r="R18" s="420"/>
      <c r="S18" s="421"/>
      <c r="T18" s="422"/>
      <c r="U18" s="423"/>
      <c r="V18" s="430">
        <v>-3528651</v>
      </c>
      <c r="W18" s="432">
        <f>V15+V16+V17+V18</f>
        <v>-24452862</v>
      </c>
    </row>
    <row r="19" spans="1:23" s="418" customFormat="1" ht="13.5" thickBot="1">
      <c r="A19" s="619"/>
      <c r="B19" s="620"/>
      <c r="C19" s="415" t="s">
        <v>523</v>
      </c>
      <c r="D19" s="416">
        <f>SUM(D17:D18)</f>
        <v>634248</v>
      </c>
      <c r="E19" s="417"/>
      <c r="I19" s="418">
        <v>317109</v>
      </c>
      <c r="J19" s="408">
        <v>6939</v>
      </c>
      <c r="K19" s="418">
        <v>6639</v>
      </c>
      <c r="L19" s="418">
        <v>21715</v>
      </c>
      <c r="M19" s="418">
        <v>29238</v>
      </c>
      <c r="N19" s="433">
        <v>5247</v>
      </c>
      <c r="O19" s="419">
        <v>33469</v>
      </c>
      <c r="P19" s="420">
        <v>4782</v>
      </c>
      <c r="Q19" s="420">
        <f>38775</f>
        <v>38775</v>
      </c>
      <c r="R19" s="420">
        <f>57+99880+86981+1712-20495+900+158+1142</f>
        <v>170335</v>
      </c>
      <c r="S19" s="421">
        <f>P19+Q19+R19</f>
        <v>213892</v>
      </c>
      <c r="T19" s="422">
        <f>O19+P19+Q19+R19</f>
        <v>247361</v>
      </c>
      <c r="U19" s="423">
        <v>386887</v>
      </c>
      <c r="V19" s="423"/>
      <c r="W19" s="423"/>
    </row>
    <row r="20" spans="1:23" s="418" customFormat="1" ht="12.75">
      <c r="A20" s="619"/>
      <c r="B20" s="621" t="s">
        <v>594</v>
      </c>
      <c r="C20" s="415" t="s">
        <v>611</v>
      </c>
      <c r="D20" s="406">
        <f>D2+D5+D8+D11+D17+D14</f>
        <v>17805728</v>
      </c>
      <c r="E20" s="396"/>
      <c r="O20" s="419"/>
      <c r="P20" s="420"/>
      <c r="Q20" s="420"/>
      <c r="R20" s="420"/>
      <c r="S20" s="421"/>
      <c r="T20" s="422"/>
      <c r="U20" s="423"/>
      <c r="V20" s="423"/>
      <c r="W20" s="423"/>
    </row>
    <row r="21" spans="1:23" s="418" customFormat="1" ht="13.5" thickBot="1">
      <c r="A21" s="619"/>
      <c r="B21" s="622"/>
      <c r="C21" s="415" t="s">
        <v>612</v>
      </c>
      <c r="D21" s="414">
        <f>D3+D6+D9+D12+D18+D15</f>
        <v>76525321</v>
      </c>
      <c r="E21" s="396"/>
      <c r="O21" s="419"/>
      <c r="P21" s="420"/>
      <c r="Q21" s="420"/>
      <c r="R21" s="420"/>
      <c r="S21" s="421"/>
      <c r="T21" s="422"/>
      <c r="U21" s="423"/>
      <c r="V21" s="423"/>
      <c r="W21" s="423"/>
    </row>
    <row r="22" spans="1:23" s="418" customFormat="1" ht="13.5" thickBot="1">
      <c r="A22" s="619"/>
      <c r="B22" s="622"/>
      <c r="C22" s="415" t="s">
        <v>523</v>
      </c>
      <c r="D22" s="434">
        <f>D4+D7+D10+D13+D16+D19</f>
        <v>94331049</v>
      </c>
      <c r="E22" s="435"/>
      <c r="H22" s="415" t="s">
        <v>623</v>
      </c>
      <c r="I22" s="436">
        <v>26290033</v>
      </c>
      <c r="J22" s="436">
        <v>6478881</v>
      </c>
      <c r="K22" s="437">
        <f>SUM(K4:K19)</f>
        <v>740985</v>
      </c>
      <c r="L22" s="437">
        <f>SUM(L3:L20)</f>
        <v>6723657</v>
      </c>
      <c r="M22" s="437">
        <f>SUM(M3:M20)</f>
        <v>3845980</v>
      </c>
      <c r="N22" s="438">
        <f>SUM(N3:N20)</f>
        <v>21465936</v>
      </c>
      <c r="O22" s="439">
        <v>3720854</v>
      </c>
      <c r="P22" s="440">
        <v>18011912</v>
      </c>
      <c r="Q22" s="440">
        <f>Q4+Q7+Q10+Q13+Q16+Q19</f>
        <v>22292994</v>
      </c>
      <c r="R22" s="440"/>
      <c r="S22" s="441">
        <f>S4+S7+S10+S13+S16+S19</f>
        <v>25064723</v>
      </c>
      <c r="T22" s="442">
        <f>T4+T7+T10+T13+T17+T19</f>
        <v>18249626</v>
      </c>
      <c r="U22" s="413">
        <f>U4+W7+U10+W14+U17+U19</f>
        <v>100534285</v>
      </c>
      <c r="V22" s="423" t="s">
        <v>624</v>
      </c>
      <c r="W22" s="423"/>
    </row>
    <row r="23" spans="1:26" ht="12.75">
      <c r="A23" s="443"/>
      <c r="B23" s="444"/>
      <c r="C23" s="415"/>
      <c r="D23" s="445"/>
      <c r="G23" s="446"/>
      <c r="H23" s="447" t="s">
        <v>625</v>
      </c>
      <c r="I23" s="408" t="s">
        <v>626</v>
      </c>
      <c r="J23" s="408" t="s">
        <v>627</v>
      </c>
      <c r="K23" s="408" t="s">
        <v>628</v>
      </c>
      <c r="L23" s="447" t="s">
        <v>629</v>
      </c>
      <c r="M23" s="447" t="s">
        <v>630</v>
      </c>
      <c r="N23" s="447" t="s">
        <v>631</v>
      </c>
      <c r="O23" s="424"/>
      <c r="P23" s="448">
        <v>21732766</v>
      </c>
      <c r="Q23" s="448"/>
      <c r="R23" s="448"/>
      <c r="S23" s="449"/>
      <c r="T23" s="450"/>
      <c r="U23" s="413">
        <f>I22+J22+K22+L22+M22+N22</f>
        <v>65545472</v>
      </c>
      <c r="V23" s="413" t="s">
        <v>632</v>
      </c>
      <c r="Z23" s="459" t="s">
        <v>655</v>
      </c>
    </row>
    <row r="24" spans="1:26" ht="13.5" customHeight="1" thickBot="1">
      <c r="A24" s="624" t="s">
        <v>633</v>
      </c>
      <c r="B24" s="625" t="s">
        <v>634</v>
      </c>
      <c r="C24" s="405" t="s">
        <v>611</v>
      </c>
      <c r="D24" s="406">
        <f>2786346+23710+29967+288024+24000+3793+481250+156350+366500+50760+18590+134927+24000</f>
        <v>4388217</v>
      </c>
      <c r="E24" s="396"/>
      <c r="O24" s="451"/>
      <c r="P24" s="452">
        <v>10843320</v>
      </c>
      <c r="Q24" s="452"/>
      <c r="R24" s="452"/>
      <c r="S24" s="453"/>
      <c r="T24" s="454"/>
      <c r="U24" s="413">
        <v>10843320</v>
      </c>
      <c r="V24" s="413" t="s">
        <v>635</v>
      </c>
      <c r="Z24" s="481">
        <f>D24/D26</f>
        <v>0.05150391204393109</v>
      </c>
    </row>
    <row r="25" spans="1:26" ht="14.25" thickBot="1" thickTop="1">
      <c r="A25" s="624"/>
      <c r="B25" s="625"/>
      <c r="C25" s="405" t="s">
        <v>612</v>
      </c>
      <c r="D25" s="455">
        <f>19816086+220123+1085312+66177+421067+322970+5028215+603023+791632+10138781+1272848+455281+220705+171330+604392+750281+349298+211593+548909+268954+2230527+82839+859820+338820+26711901+7774+309416+356329+798407+192520+148102+184351+252274+4359393+1745010-1087052-377495+353495</f>
        <v>80813408</v>
      </c>
      <c r="E25" s="396"/>
      <c r="I25" s="417"/>
      <c r="J25" s="417"/>
      <c r="K25" s="446"/>
      <c r="N25" s="456">
        <f>L22+K22+J22+I22+M22+N22</f>
        <v>65545472</v>
      </c>
      <c r="T25" s="459">
        <f>S23-T22</f>
        <v>-18249626</v>
      </c>
      <c r="U25" s="413">
        <f>U23+U24</f>
        <v>76388792</v>
      </c>
      <c r="Z25" s="481">
        <f>D25/D26</f>
        <v>0.9484960879560689</v>
      </c>
    </row>
    <row r="26" spans="1:26" s="418" customFormat="1" ht="13.5" thickBot="1">
      <c r="A26" s="624"/>
      <c r="B26" s="625"/>
      <c r="C26" s="415" t="s">
        <v>523</v>
      </c>
      <c r="D26" s="460">
        <f>SUM(D24:D25)</f>
        <v>85201625</v>
      </c>
      <c r="E26" s="461">
        <f>D26+14798375</f>
        <v>100000000</v>
      </c>
      <c r="I26" s="396"/>
      <c r="J26" s="396"/>
      <c r="O26" s="462"/>
      <c r="P26" s="462"/>
      <c r="Q26" s="462"/>
      <c r="R26" s="462"/>
      <c r="S26" s="463"/>
      <c r="U26" s="423">
        <f>94319441-U25</f>
        <v>17930649</v>
      </c>
      <c r="V26" s="423"/>
      <c r="W26" s="423"/>
      <c r="Z26" s="482">
        <f>SUM(Z24:Z25)</f>
        <v>1</v>
      </c>
    </row>
    <row r="27" spans="1:14" ht="12.75">
      <c r="A27" s="443"/>
      <c r="B27" s="444"/>
      <c r="C27" s="464" t="s">
        <v>636</v>
      </c>
      <c r="D27" s="465">
        <v>14798375</v>
      </c>
      <c r="G27" s="446"/>
      <c r="H27" s="447"/>
      <c r="I27" s="408"/>
      <c r="J27" s="408"/>
      <c r="K27" s="408"/>
      <c r="L27" s="447"/>
      <c r="M27" s="447"/>
      <c r="N27" s="447"/>
    </row>
    <row r="28" spans="1:14" ht="12.75">
      <c r="A28" s="626"/>
      <c r="B28" s="466"/>
      <c r="C28" s="417"/>
      <c r="D28" s="408"/>
      <c r="G28" s="446"/>
      <c r="H28" s="447"/>
      <c r="I28" s="408"/>
      <c r="J28" s="408"/>
      <c r="K28" s="408"/>
      <c r="L28" s="447"/>
      <c r="M28" s="447"/>
      <c r="N28" s="447"/>
    </row>
    <row r="29" spans="1:14" ht="12.75">
      <c r="A29" s="627"/>
      <c r="B29" s="466"/>
      <c r="C29" s="417"/>
      <c r="D29" s="408"/>
      <c r="G29" s="446"/>
      <c r="H29" s="447"/>
      <c r="I29" s="408"/>
      <c r="J29" s="408"/>
      <c r="K29" s="408"/>
      <c r="L29" s="447"/>
      <c r="M29" s="447"/>
      <c r="N29" s="447"/>
    </row>
    <row r="30" spans="1:14" ht="12.75">
      <c r="A30" s="627"/>
      <c r="B30" s="466"/>
      <c r="C30" s="417"/>
      <c r="D30" s="408"/>
      <c r="G30" s="446"/>
      <c r="H30" s="447"/>
      <c r="I30" s="408"/>
      <c r="J30" s="408"/>
      <c r="K30" s="408"/>
      <c r="L30" s="447"/>
      <c r="M30" s="447"/>
      <c r="N30" s="447"/>
    </row>
    <row r="31" spans="9:15" ht="12.75">
      <c r="I31" s="418"/>
      <c r="J31" s="418"/>
      <c r="O31" s="457" t="s">
        <v>637</v>
      </c>
    </row>
    <row r="32" spans="1:20" ht="12.75">
      <c r="A32" s="467" t="s">
        <v>638</v>
      </c>
      <c r="I32" s="418"/>
      <c r="J32" s="418"/>
      <c r="O32" s="457" t="s">
        <v>639</v>
      </c>
      <c r="T32" s="407">
        <f>-22670492+24452862</f>
        <v>1782370</v>
      </c>
    </row>
    <row r="33" spans="9:20" ht="12.75">
      <c r="I33" s="418"/>
      <c r="J33" s="418"/>
      <c r="T33" s="407">
        <f>39126140-22670492-22670492</f>
        <v>-6214844</v>
      </c>
    </row>
    <row r="34" spans="1:20" ht="12.75">
      <c r="A34" s="407" t="s">
        <v>640</v>
      </c>
      <c r="D34" s="418">
        <v>12436211</v>
      </c>
      <c r="E34" s="468"/>
      <c r="I34" s="418"/>
      <c r="J34" s="418"/>
      <c r="O34" s="457" t="s">
        <v>641</v>
      </c>
      <c r="T34" s="407">
        <f>T33-24452862</f>
        <v>-30667706</v>
      </c>
    </row>
    <row r="35" spans="1:20" ht="12.75">
      <c r="A35" s="407" t="s">
        <v>642</v>
      </c>
      <c r="D35" s="418">
        <v>100000000</v>
      </c>
      <c r="E35" s="469"/>
      <c r="I35" s="418"/>
      <c r="J35" s="418"/>
      <c r="O35" s="457" t="s">
        <v>643</v>
      </c>
      <c r="T35" s="407">
        <f>T34+25746+T7+T10+T13+T17+T19</f>
        <v>-12418080</v>
      </c>
    </row>
    <row r="36" spans="1:10" ht="12.75">
      <c r="A36" s="407" t="s">
        <v>644</v>
      </c>
      <c r="D36" s="418">
        <v>12436211</v>
      </c>
      <c r="E36" s="468"/>
      <c r="I36" s="418"/>
      <c r="J36" s="418"/>
    </row>
    <row r="37" spans="1:10" ht="12.75">
      <c r="A37" s="407" t="s">
        <v>645</v>
      </c>
      <c r="D37" s="418">
        <f>D22</f>
        <v>94331049</v>
      </c>
      <c r="E37" s="468"/>
      <c r="I37" s="433"/>
      <c r="J37" s="433"/>
    </row>
    <row r="38" spans="1:10" ht="12.75">
      <c r="A38" s="407" t="s">
        <v>646</v>
      </c>
      <c r="D38" s="418">
        <f>D26</f>
        <v>85201625</v>
      </c>
      <c r="E38" s="628">
        <f>D38+D39</f>
        <v>100000000</v>
      </c>
      <c r="H38" s="459"/>
      <c r="I38" s="418"/>
      <c r="J38" s="418"/>
    </row>
    <row r="39" spans="1:10" ht="12.75">
      <c r="A39" s="459" t="s">
        <v>647</v>
      </c>
      <c r="D39" s="418">
        <f>D27</f>
        <v>14798375</v>
      </c>
      <c r="E39" s="628"/>
      <c r="H39" s="459"/>
      <c r="I39" s="418"/>
      <c r="J39" s="418"/>
    </row>
    <row r="40" spans="1:10" ht="12.75">
      <c r="A40" s="459" t="s">
        <v>648</v>
      </c>
      <c r="D40" s="418">
        <v>10535951</v>
      </c>
      <c r="E40" s="470"/>
      <c r="H40" s="459"/>
      <c r="I40" s="418"/>
      <c r="J40" s="418"/>
    </row>
    <row r="41" spans="1:10" ht="12.75">
      <c r="A41" s="459" t="s">
        <v>649</v>
      </c>
      <c r="D41" s="418">
        <f>N25</f>
        <v>65545472</v>
      </c>
      <c r="E41" s="470">
        <v>10843320</v>
      </c>
      <c r="I41" s="418"/>
      <c r="J41" s="418"/>
    </row>
    <row r="42" spans="1:23" s="433" customFormat="1" ht="15">
      <c r="A42" s="433" t="s">
        <v>650</v>
      </c>
      <c r="D42" s="433">
        <f>D35+D37-D38-D41-D40-D39</f>
        <v>18249626</v>
      </c>
      <c r="E42" s="471"/>
      <c r="I42" s="472"/>
      <c r="J42" s="472"/>
      <c r="O42" s="462"/>
      <c r="P42" s="462"/>
      <c r="Q42" s="462"/>
      <c r="R42" s="462"/>
      <c r="S42" s="463"/>
      <c r="U42" s="423"/>
      <c r="V42" s="423"/>
      <c r="W42" s="423"/>
    </row>
    <row r="43" spans="1:5" ht="30" customHeight="1" hidden="1">
      <c r="A43" s="623" t="s">
        <v>651</v>
      </c>
      <c r="B43" s="623"/>
      <c r="C43" s="407">
        <v>17008000</v>
      </c>
      <c r="E43" s="471"/>
    </row>
    <row r="44" spans="1:10" ht="29.25" customHeight="1" hidden="1" thickBot="1">
      <c r="A44" s="623" t="s">
        <v>652</v>
      </c>
      <c r="B44" s="623"/>
      <c r="C44" s="473" t="s">
        <v>653</v>
      </c>
      <c r="E44" s="471"/>
      <c r="I44" s="395"/>
      <c r="J44" s="395"/>
    </row>
    <row r="45" spans="1:23" s="472" customFormat="1" ht="15.75" customHeight="1" hidden="1" thickBot="1">
      <c r="A45" s="474" t="s">
        <v>654</v>
      </c>
      <c r="B45" s="475"/>
      <c r="C45" s="476">
        <f>SUM(C42:C44)</f>
        <v>17008000</v>
      </c>
      <c r="E45" s="471"/>
      <c r="I45" s="418"/>
      <c r="J45" s="418"/>
      <c r="O45" s="477"/>
      <c r="P45" s="477"/>
      <c r="Q45" s="477"/>
      <c r="R45" s="477"/>
      <c r="S45" s="478"/>
      <c r="U45" s="479"/>
      <c r="V45" s="479"/>
      <c r="W45" s="479"/>
    </row>
    <row r="46" spans="1:5" ht="12.75">
      <c r="A46" s="459"/>
      <c r="E46" s="480"/>
    </row>
    <row r="47" spans="1:5" ht="12.75">
      <c r="A47" s="459"/>
      <c r="E47" s="480"/>
    </row>
  </sheetData>
  <sheetProtection password="EE36" sheet="1" formatCells="0" formatColumns="0" formatRows="0" insertColumns="0" insertRows="0" insertHyperlinks="0" deleteColumns="0" deleteRows="0" sort="0" autoFilter="0" pivotTables="0"/>
  <mergeCells count="14">
    <mergeCell ref="A43:B43"/>
    <mergeCell ref="A44:B44"/>
    <mergeCell ref="A24:A26"/>
    <mergeCell ref="B24:B26"/>
    <mergeCell ref="A28:A30"/>
    <mergeCell ref="E38:E39"/>
    <mergeCell ref="A2:A22"/>
    <mergeCell ref="B2:B4"/>
    <mergeCell ref="B5:B7"/>
    <mergeCell ref="B8:B10"/>
    <mergeCell ref="B11:B13"/>
    <mergeCell ref="B14:B16"/>
    <mergeCell ref="B17:B19"/>
    <mergeCell ref="B20:B22"/>
  </mergeCells>
  <printOptions horizontalCentered="1"/>
  <pageMargins left="0.4330708661417323" right="0.15748031496062992" top="1.0236220472440944" bottom="0.3937007874015748" header="0.5118110236220472" footer="0.15748031496062992"/>
  <pageSetup fitToHeight="1" fitToWidth="1" horizontalDpi="600" verticalDpi="600" orientation="landscape" paperSize="9" scale="82" r:id="rId1"/>
  <headerFooter alignWithMargins="0">
    <oddHeader>&amp;LMgSzH &amp;CParlagfű elleni közérdekű védekezésre biztosított előleggel kapcsolatos pénzforgalom
2008.
&amp;R5/c. sz.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="71" zoomScaleNormal="71" zoomScalePageLayoutView="0" workbookViewId="0" topLeftCell="B1">
      <pane xSplit="4" ySplit="2" topLeftCell="F3" activePane="bottomRight" state="frozen"/>
      <selection pane="topLeft" activeCell="D142" sqref="D142"/>
      <selection pane="topRight" activeCell="D142" sqref="D142"/>
      <selection pane="bottomLeft" activeCell="D142" sqref="D142"/>
      <selection pane="bottomRight" activeCell="F3" sqref="F3"/>
    </sheetView>
  </sheetViews>
  <sheetFormatPr defaultColWidth="9.140625" defaultRowHeight="15"/>
  <cols>
    <col min="1" max="1" width="0.13671875" style="57" customWidth="1"/>
    <col min="2" max="2" width="18.00390625" style="57" bestFit="1" customWidth="1"/>
    <col min="3" max="3" width="6.57421875" style="88" customWidth="1"/>
    <col min="4" max="4" width="23.7109375" style="95" customWidth="1"/>
    <col min="5" max="5" width="22.7109375" style="57" bestFit="1" customWidth="1"/>
    <col min="6" max="6" width="11.140625" style="57" customWidth="1"/>
    <col min="7" max="7" width="10.8515625" style="57" bestFit="1" customWidth="1"/>
    <col min="8" max="8" width="10.421875" style="57" customWidth="1"/>
    <col min="9" max="9" width="9.421875" style="57" customWidth="1"/>
    <col min="10" max="10" width="10.140625" style="57" customWidth="1"/>
    <col min="11" max="11" width="11.57421875" style="57" customWidth="1"/>
    <col min="12" max="12" width="87.00390625" style="96" customWidth="1"/>
    <col min="13" max="16384" width="9.140625" style="57" customWidth="1"/>
  </cols>
  <sheetData>
    <row r="1" spans="1:12" s="89" customFormat="1" ht="16.5" customHeight="1">
      <c r="A1" s="509" t="s">
        <v>32</v>
      </c>
      <c r="B1" s="511" t="s">
        <v>33</v>
      </c>
      <c r="C1" s="511" t="s">
        <v>34</v>
      </c>
      <c r="D1" s="511" t="s">
        <v>36</v>
      </c>
      <c r="E1" s="511"/>
      <c r="F1" s="522" t="s">
        <v>37</v>
      </c>
      <c r="G1" s="522" t="s">
        <v>38</v>
      </c>
      <c r="H1" s="511" t="s">
        <v>39</v>
      </c>
      <c r="I1" s="511" t="s">
        <v>42</v>
      </c>
      <c r="J1" s="511" t="s">
        <v>47</v>
      </c>
      <c r="K1" s="511" t="s">
        <v>51</v>
      </c>
      <c r="L1" s="511" t="s">
        <v>375</v>
      </c>
    </row>
    <row r="2" spans="1:12" s="90" customFormat="1" ht="60" customHeight="1" thickBot="1">
      <c r="A2" s="510"/>
      <c r="B2" s="512"/>
      <c r="C2" s="512"/>
      <c r="D2" s="512"/>
      <c r="E2" s="512"/>
      <c r="F2" s="523"/>
      <c r="G2" s="523"/>
      <c r="H2" s="512"/>
      <c r="I2" s="512"/>
      <c r="J2" s="512"/>
      <c r="K2" s="512"/>
      <c r="L2" s="527"/>
    </row>
    <row r="3" spans="1:12" s="20" customFormat="1" ht="12.75">
      <c r="A3" s="14"/>
      <c r="B3" s="528" t="s">
        <v>82</v>
      </c>
      <c r="C3" s="531" t="s">
        <v>83</v>
      </c>
      <c r="D3" s="532" t="s">
        <v>85</v>
      </c>
      <c r="E3" s="14" t="s">
        <v>376</v>
      </c>
      <c r="F3" s="14">
        <v>592704</v>
      </c>
      <c r="G3" s="14">
        <v>189665</v>
      </c>
      <c r="H3" s="14"/>
      <c r="I3" s="14"/>
      <c r="J3" s="14"/>
      <c r="K3" s="18">
        <f>SUM(F3:J3)</f>
        <v>782369</v>
      </c>
      <c r="L3" s="533" t="s">
        <v>377</v>
      </c>
    </row>
    <row r="4" spans="1:12" s="20" customFormat="1" ht="12.75">
      <c r="A4" s="30"/>
      <c r="B4" s="529"/>
      <c r="C4" s="520"/>
      <c r="D4" s="517"/>
      <c r="E4" s="14" t="s">
        <v>378</v>
      </c>
      <c r="F4" s="14">
        <v>592704</v>
      </c>
      <c r="G4" s="14">
        <v>189665</v>
      </c>
      <c r="H4" s="14"/>
      <c r="I4" s="14"/>
      <c r="J4" s="14"/>
      <c r="K4" s="18">
        <f>SUM(F4:J4)</f>
        <v>782369</v>
      </c>
      <c r="L4" s="534"/>
    </row>
    <row r="5" spans="1:12" s="20" customFormat="1" ht="12.75">
      <c r="A5" s="30"/>
      <c r="B5" s="530"/>
      <c r="C5" s="521"/>
      <c r="D5" s="518"/>
      <c r="E5" s="14" t="s">
        <v>379</v>
      </c>
      <c r="F5" s="14">
        <v>0</v>
      </c>
      <c r="G5" s="14">
        <v>0</v>
      </c>
      <c r="H5" s="14"/>
      <c r="I5" s="14"/>
      <c r="J5" s="14"/>
      <c r="K5" s="18">
        <f>SUM(F5:J5)</f>
        <v>0</v>
      </c>
      <c r="L5" s="535"/>
    </row>
    <row r="6" spans="1:12" s="20" customFormat="1" ht="12.75">
      <c r="A6" s="30"/>
      <c r="B6" s="15"/>
      <c r="C6" s="31"/>
      <c r="D6" s="91"/>
      <c r="E6" s="14"/>
      <c r="F6" s="14"/>
      <c r="G6" s="14"/>
      <c r="H6" s="14"/>
      <c r="I6" s="14"/>
      <c r="J6" s="14"/>
      <c r="K6" s="18"/>
      <c r="L6" s="92"/>
    </row>
    <row r="7" spans="1:12" s="20" customFormat="1" ht="12.75">
      <c r="A7" s="30"/>
      <c r="B7" s="513" t="s">
        <v>89</v>
      </c>
      <c r="C7" s="519" t="s">
        <v>90</v>
      </c>
      <c r="D7" s="516" t="s">
        <v>92</v>
      </c>
      <c r="E7" s="14" t="s">
        <v>376</v>
      </c>
      <c r="F7" s="14"/>
      <c r="G7" s="14"/>
      <c r="H7" s="14">
        <v>3000</v>
      </c>
      <c r="I7" s="14"/>
      <c r="J7" s="14"/>
      <c r="K7" s="18">
        <f>SUM(F7:J7)</f>
        <v>3000</v>
      </c>
      <c r="L7" s="533" t="s">
        <v>380</v>
      </c>
    </row>
    <row r="8" spans="1:12" s="20" customFormat="1" ht="12.75">
      <c r="A8" s="30"/>
      <c r="B8" s="514"/>
      <c r="C8" s="520"/>
      <c r="D8" s="517"/>
      <c r="E8" s="14" t="s">
        <v>378</v>
      </c>
      <c r="F8" s="14"/>
      <c r="G8" s="14"/>
      <c r="H8" s="14">
        <v>3000</v>
      </c>
      <c r="I8" s="14"/>
      <c r="J8" s="14"/>
      <c r="K8" s="18">
        <f>SUM(F8:J8)</f>
        <v>3000</v>
      </c>
      <c r="L8" s="534"/>
    </row>
    <row r="9" spans="1:12" s="20" customFormat="1" ht="12.75">
      <c r="A9" s="30"/>
      <c r="B9" s="515"/>
      <c r="C9" s="521"/>
      <c r="D9" s="518"/>
      <c r="E9" s="14" t="s">
        <v>379</v>
      </c>
      <c r="F9" s="14"/>
      <c r="G9" s="14"/>
      <c r="H9" s="14">
        <v>0</v>
      </c>
      <c r="I9" s="14"/>
      <c r="J9" s="14"/>
      <c r="K9" s="18">
        <f>SUM(F9:J9)</f>
        <v>0</v>
      </c>
      <c r="L9" s="535"/>
    </row>
    <row r="10" spans="1:12" s="20" customFormat="1" ht="12.75">
      <c r="A10" s="30"/>
      <c r="B10" s="22"/>
      <c r="C10" s="31"/>
      <c r="D10" s="91"/>
      <c r="E10" s="14"/>
      <c r="F10" s="14"/>
      <c r="G10" s="14"/>
      <c r="H10" s="14"/>
      <c r="I10" s="14"/>
      <c r="J10" s="14"/>
      <c r="K10" s="18"/>
      <c r="L10" s="92"/>
    </row>
    <row r="11" spans="1:12" s="20" customFormat="1" ht="12.75">
      <c r="A11" s="30"/>
      <c r="B11" s="513" t="s">
        <v>93</v>
      </c>
      <c r="C11" s="519" t="s">
        <v>94</v>
      </c>
      <c r="D11" s="516" t="s">
        <v>95</v>
      </c>
      <c r="E11" s="14" t="s">
        <v>376</v>
      </c>
      <c r="F11" s="14">
        <v>4600</v>
      </c>
      <c r="G11" s="14">
        <v>1334</v>
      </c>
      <c r="H11" s="14">
        <v>2466</v>
      </c>
      <c r="I11" s="14"/>
      <c r="J11" s="14">
        <v>300</v>
      </c>
      <c r="K11" s="18">
        <f>SUM(F11:J11)</f>
        <v>8700</v>
      </c>
      <c r="L11" s="533" t="s">
        <v>381</v>
      </c>
    </row>
    <row r="12" spans="1:12" s="20" customFormat="1" ht="12.75">
      <c r="A12" s="30"/>
      <c r="B12" s="514"/>
      <c r="C12" s="520"/>
      <c r="D12" s="517"/>
      <c r="E12" s="14" t="s">
        <v>378</v>
      </c>
      <c r="F12" s="14">
        <v>4600</v>
      </c>
      <c r="G12" s="14">
        <v>1334</v>
      </c>
      <c r="H12" s="14">
        <v>2466</v>
      </c>
      <c r="I12" s="14"/>
      <c r="J12" s="14">
        <v>300</v>
      </c>
      <c r="K12" s="18">
        <f>SUM(F12:J12)</f>
        <v>8700</v>
      </c>
      <c r="L12" s="534"/>
    </row>
    <row r="13" spans="1:12" s="20" customFormat="1" ht="12.75">
      <c r="A13" s="30"/>
      <c r="B13" s="515"/>
      <c r="C13" s="521"/>
      <c r="D13" s="518"/>
      <c r="E13" s="14" t="s">
        <v>379</v>
      </c>
      <c r="F13" s="14">
        <v>0</v>
      </c>
      <c r="G13" s="14">
        <v>0</v>
      </c>
      <c r="H13" s="14">
        <v>0</v>
      </c>
      <c r="I13" s="14"/>
      <c r="J13" s="14">
        <v>0</v>
      </c>
      <c r="K13" s="18">
        <f>SUM(F13:J13)</f>
        <v>0</v>
      </c>
      <c r="L13" s="535"/>
    </row>
    <row r="14" spans="1:12" s="20" customFormat="1" ht="12.75">
      <c r="A14" s="30"/>
      <c r="B14" s="22"/>
      <c r="C14" s="31"/>
      <c r="D14" s="91"/>
      <c r="E14" s="14"/>
      <c r="F14" s="14"/>
      <c r="G14" s="14"/>
      <c r="H14" s="14"/>
      <c r="I14" s="14"/>
      <c r="J14" s="14"/>
      <c r="K14" s="18"/>
      <c r="L14" s="92"/>
    </row>
    <row r="15" spans="1:12" s="20" customFormat="1" ht="12.75" customHeight="1">
      <c r="A15" s="30"/>
      <c r="B15" s="513" t="s">
        <v>97</v>
      </c>
      <c r="C15" s="519" t="s">
        <v>98</v>
      </c>
      <c r="D15" s="524" t="s">
        <v>382</v>
      </c>
      <c r="E15" s="14" t="s">
        <v>376</v>
      </c>
      <c r="F15" s="14">
        <v>25508</v>
      </c>
      <c r="G15" s="14">
        <v>5000</v>
      </c>
      <c r="H15" s="14"/>
      <c r="I15" s="14"/>
      <c r="J15" s="14"/>
      <c r="K15" s="18">
        <f>SUM(F15:J15)</f>
        <v>30508</v>
      </c>
      <c r="L15" s="542" t="s">
        <v>383</v>
      </c>
    </row>
    <row r="16" spans="1:12" s="20" customFormat="1" ht="12.75">
      <c r="A16" s="30"/>
      <c r="B16" s="514"/>
      <c r="C16" s="520"/>
      <c r="D16" s="525"/>
      <c r="E16" s="14" t="s">
        <v>378</v>
      </c>
      <c r="F16" s="14">
        <v>25508</v>
      </c>
      <c r="G16" s="14">
        <v>5000</v>
      </c>
      <c r="H16" s="14"/>
      <c r="I16" s="14"/>
      <c r="J16" s="14"/>
      <c r="K16" s="18">
        <f>SUM(F16:J16)</f>
        <v>30508</v>
      </c>
      <c r="L16" s="543"/>
    </row>
    <row r="17" spans="1:12" s="20" customFormat="1" ht="12.75">
      <c r="A17" s="30"/>
      <c r="B17" s="515"/>
      <c r="C17" s="521"/>
      <c r="D17" s="526"/>
      <c r="E17" s="14" t="s">
        <v>379</v>
      </c>
      <c r="F17" s="14">
        <v>0</v>
      </c>
      <c r="G17" s="14">
        <v>0</v>
      </c>
      <c r="H17" s="14"/>
      <c r="I17" s="14"/>
      <c r="J17" s="14"/>
      <c r="K17" s="18">
        <f>SUM(F17:J17)</f>
        <v>0</v>
      </c>
      <c r="L17" s="544"/>
    </row>
    <row r="18" spans="1:12" s="20" customFormat="1" ht="12.75">
      <c r="A18" s="30"/>
      <c r="B18" s="22"/>
      <c r="C18" s="31"/>
      <c r="D18" s="43"/>
      <c r="E18" s="22"/>
      <c r="F18" s="14"/>
      <c r="G18" s="14"/>
      <c r="H18" s="14"/>
      <c r="I18" s="14"/>
      <c r="J18" s="14"/>
      <c r="K18" s="18"/>
      <c r="L18" s="92"/>
    </row>
    <row r="19" spans="1:12" s="39" customFormat="1" ht="12.75">
      <c r="A19" s="36"/>
      <c r="B19" s="513" t="s">
        <v>108</v>
      </c>
      <c r="C19" s="519" t="s">
        <v>109</v>
      </c>
      <c r="D19" s="524" t="s">
        <v>100</v>
      </c>
      <c r="E19" s="14" t="s">
        <v>376</v>
      </c>
      <c r="F19" s="22">
        <v>46616</v>
      </c>
      <c r="G19" s="22">
        <v>3000</v>
      </c>
      <c r="H19" s="22"/>
      <c r="I19" s="37"/>
      <c r="J19" s="37"/>
      <c r="K19" s="18">
        <f>SUM(F19:J19)</f>
        <v>49616</v>
      </c>
      <c r="L19" s="542" t="s">
        <v>384</v>
      </c>
    </row>
    <row r="20" spans="1:12" s="39" customFormat="1" ht="12.75">
      <c r="A20" s="36"/>
      <c r="B20" s="514"/>
      <c r="C20" s="520"/>
      <c r="D20" s="525"/>
      <c r="E20" s="14" t="s">
        <v>378</v>
      </c>
      <c r="F20" s="22">
        <v>46616</v>
      </c>
      <c r="G20" s="22">
        <v>3000</v>
      </c>
      <c r="H20" s="37"/>
      <c r="I20" s="37"/>
      <c r="J20" s="37"/>
      <c r="K20" s="18">
        <f>SUM(F20:J20)</f>
        <v>49616</v>
      </c>
      <c r="L20" s="543"/>
    </row>
    <row r="21" spans="1:12" s="39" customFormat="1" ht="12.75">
      <c r="A21" s="36"/>
      <c r="B21" s="515"/>
      <c r="C21" s="521"/>
      <c r="D21" s="526"/>
      <c r="E21" s="14" t="s">
        <v>379</v>
      </c>
      <c r="F21" s="37">
        <v>0</v>
      </c>
      <c r="G21" s="37">
        <v>0</v>
      </c>
      <c r="H21" s="37"/>
      <c r="I21" s="37"/>
      <c r="J21" s="37"/>
      <c r="K21" s="18">
        <f>SUM(F21:J21)</f>
        <v>0</v>
      </c>
      <c r="L21" s="544"/>
    </row>
    <row r="22" spans="1:12" s="39" customFormat="1" ht="12.75">
      <c r="A22" s="36"/>
      <c r="B22" s="22"/>
      <c r="C22" s="31"/>
      <c r="D22" s="43"/>
      <c r="E22" s="22"/>
      <c r="F22" s="37"/>
      <c r="G22" s="37"/>
      <c r="H22" s="37"/>
      <c r="I22" s="37"/>
      <c r="J22" s="37"/>
      <c r="K22" s="18"/>
      <c r="L22" s="94"/>
    </row>
    <row r="23" spans="1:12" s="20" customFormat="1" ht="12.75">
      <c r="A23" s="30"/>
      <c r="B23" s="513" t="s">
        <v>112</v>
      </c>
      <c r="C23" s="519" t="s">
        <v>113</v>
      </c>
      <c r="D23" s="524" t="s">
        <v>114</v>
      </c>
      <c r="E23" s="14" t="s">
        <v>376</v>
      </c>
      <c r="F23" s="14">
        <v>50945</v>
      </c>
      <c r="G23" s="14">
        <v>1000</v>
      </c>
      <c r="H23" s="14"/>
      <c r="I23" s="14"/>
      <c r="J23" s="14"/>
      <c r="K23" s="18">
        <f>SUM(F23:J23)</f>
        <v>51945</v>
      </c>
      <c r="L23" s="542" t="s">
        <v>385</v>
      </c>
    </row>
    <row r="24" spans="1:12" s="20" customFormat="1" ht="12.75">
      <c r="A24" s="30"/>
      <c r="B24" s="514"/>
      <c r="C24" s="520"/>
      <c r="D24" s="525"/>
      <c r="E24" s="14" t="s">
        <v>378</v>
      </c>
      <c r="F24" s="14">
        <v>50945</v>
      </c>
      <c r="G24" s="14">
        <v>1000</v>
      </c>
      <c r="H24" s="14"/>
      <c r="I24" s="14"/>
      <c r="J24" s="14"/>
      <c r="K24" s="18">
        <f>SUM(F24:J24)</f>
        <v>51945</v>
      </c>
      <c r="L24" s="543"/>
    </row>
    <row r="25" spans="1:12" s="20" customFormat="1" ht="12.75">
      <c r="A25" s="30"/>
      <c r="B25" s="515"/>
      <c r="C25" s="521"/>
      <c r="D25" s="526"/>
      <c r="E25" s="14" t="s">
        <v>379</v>
      </c>
      <c r="F25" s="14">
        <v>0</v>
      </c>
      <c r="G25" s="14">
        <v>0</v>
      </c>
      <c r="H25" s="14"/>
      <c r="I25" s="14"/>
      <c r="J25" s="14"/>
      <c r="K25" s="18">
        <f>SUM(F25:J25)</f>
        <v>0</v>
      </c>
      <c r="L25" s="544"/>
    </row>
    <row r="26" spans="1:12" s="20" customFormat="1" ht="12.75">
      <c r="A26" s="30"/>
      <c r="B26" s="22"/>
      <c r="C26" s="31"/>
      <c r="D26" s="43"/>
      <c r="E26" s="22"/>
      <c r="F26" s="14"/>
      <c r="G26" s="14"/>
      <c r="H26" s="14"/>
      <c r="I26" s="14"/>
      <c r="J26" s="14"/>
      <c r="K26" s="18"/>
      <c r="L26" s="92"/>
    </row>
    <row r="27" spans="1:12" s="20" customFormat="1" ht="13.5" customHeight="1">
      <c r="A27" s="30"/>
      <c r="B27" s="513" t="s">
        <v>108</v>
      </c>
      <c r="C27" s="519" t="s">
        <v>120</v>
      </c>
      <c r="D27" s="516" t="s">
        <v>386</v>
      </c>
      <c r="E27" s="14" t="s">
        <v>376</v>
      </c>
      <c r="F27" s="14">
        <v>279063</v>
      </c>
      <c r="G27" s="14">
        <v>87561</v>
      </c>
      <c r="H27" s="14">
        <v>72692</v>
      </c>
      <c r="I27" s="14"/>
      <c r="J27" s="14">
        <v>14763</v>
      </c>
      <c r="K27" s="18">
        <f>SUM(F27:J27)</f>
        <v>454079</v>
      </c>
      <c r="L27" s="533" t="s">
        <v>413</v>
      </c>
    </row>
    <row r="28" spans="1:12" s="20" customFormat="1" ht="13.5" customHeight="1">
      <c r="A28" s="30"/>
      <c r="B28" s="514"/>
      <c r="C28" s="520"/>
      <c r="D28" s="517"/>
      <c r="E28" s="14" t="s">
        <v>378</v>
      </c>
      <c r="F28" s="14">
        <v>279063</v>
      </c>
      <c r="G28" s="14">
        <v>87561</v>
      </c>
      <c r="H28" s="14">
        <v>72692</v>
      </c>
      <c r="I28" s="14"/>
      <c r="J28" s="14">
        <v>14763</v>
      </c>
      <c r="K28" s="18">
        <f>SUM(F28:J28)</f>
        <v>454079</v>
      </c>
      <c r="L28" s="534"/>
    </row>
    <row r="29" spans="1:12" s="20" customFormat="1" ht="13.5" customHeight="1">
      <c r="A29" s="30"/>
      <c r="B29" s="515"/>
      <c r="C29" s="521"/>
      <c r="D29" s="518"/>
      <c r="E29" s="14" t="s">
        <v>379</v>
      </c>
      <c r="F29" s="14">
        <v>0</v>
      </c>
      <c r="G29" s="14">
        <v>0</v>
      </c>
      <c r="H29" s="14">
        <v>0</v>
      </c>
      <c r="I29" s="14"/>
      <c r="J29" s="14">
        <v>0</v>
      </c>
      <c r="K29" s="18">
        <f>SUM(F29:J29)</f>
        <v>0</v>
      </c>
      <c r="L29" s="535"/>
    </row>
    <row r="30" spans="1:12" s="20" customFormat="1" ht="12.75">
      <c r="A30" s="30"/>
      <c r="B30" s="22"/>
      <c r="C30" s="31"/>
      <c r="D30" s="91"/>
      <c r="E30" s="14"/>
      <c r="F30" s="14"/>
      <c r="G30" s="14"/>
      <c r="H30" s="14"/>
      <c r="I30" s="14"/>
      <c r="J30" s="14"/>
      <c r="K30" s="18"/>
      <c r="L30" s="92"/>
    </row>
    <row r="31" spans="1:12" s="20" customFormat="1" ht="12.75">
      <c r="A31" s="30"/>
      <c r="B31" s="513" t="s">
        <v>128</v>
      </c>
      <c r="C31" s="519" t="s">
        <v>129</v>
      </c>
      <c r="D31" s="524" t="s">
        <v>131</v>
      </c>
      <c r="E31" s="14" t="s">
        <v>376</v>
      </c>
      <c r="F31" s="14">
        <v>57935</v>
      </c>
      <c r="G31" s="14">
        <v>18335</v>
      </c>
      <c r="H31" s="14"/>
      <c r="I31" s="14"/>
      <c r="J31" s="14"/>
      <c r="K31" s="18">
        <f>SUM(F31:J31)</f>
        <v>76270</v>
      </c>
      <c r="L31" s="533" t="s">
        <v>387</v>
      </c>
    </row>
    <row r="32" spans="1:12" s="20" customFormat="1" ht="12.75">
      <c r="A32" s="30"/>
      <c r="B32" s="514"/>
      <c r="C32" s="520"/>
      <c r="D32" s="525"/>
      <c r="E32" s="14" t="s">
        <v>378</v>
      </c>
      <c r="F32" s="14">
        <v>57935</v>
      </c>
      <c r="G32" s="14">
        <v>18335</v>
      </c>
      <c r="H32" s="14"/>
      <c r="I32" s="14"/>
      <c r="J32" s="14"/>
      <c r="K32" s="18">
        <f>SUM(F32:J32)</f>
        <v>76270</v>
      </c>
      <c r="L32" s="534"/>
    </row>
    <row r="33" spans="1:12" s="20" customFormat="1" ht="12.75">
      <c r="A33" s="30"/>
      <c r="B33" s="515"/>
      <c r="C33" s="521"/>
      <c r="D33" s="526"/>
      <c r="E33" s="14" t="s">
        <v>379</v>
      </c>
      <c r="F33" s="14">
        <v>0</v>
      </c>
      <c r="G33" s="14">
        <v>0</v>
      </c>
      <c r="H33" s="14"/>
      <c r="I33" s="14"/>
      <c r="J33" s="14"/>
      <c r="K33" s="18">
        <f>SUM(F33:J33)</f>
        <v>0</v>
      </c>
      <c r="L33" s="535"/>
    </row>
    <row r="34" spans="1:12" s="20" customFormat="1" ht="12.75">
      <c r="A34" s="30"/>
      <c r="B34" s="22"/>
      <c r="C34" s="31"/>
      <c r="D34" s="43"/>
      <c r="E34" s="22"/>
      <c r="F34" s="14"/>
      <c r="G34" s="14"/>
      <c r="H34" s="14"/>
      <c r="I34" s="14"/>
      <c r="J34" s="14"/>
      <c r="K34" s="18"/>
      <c r="L34" s="92"/>
    </row>
    <row r="35" spans="1:12" s="20" customFormat="1" ht="12.75">
      <c r="A35" s="30"/>
      <c r="B35" s="513" t="s">
        <v>132</v>
      </c>
      <c r="C35" s="519" t="s">
        <v>133</v>
      </c>
      <c r="D35" s="524" t="s">
        <v>134</v>
      </c>
      <c r="E35" s="14" t="s">
        <v>376</v>
      </c>
      <c r="F35" s="14">
        <v>851579</v>
      </c>
      <c r="G35" s="14">
        <v>267324</v>
      </c>
      <c r="H35" s="14"/>
      <c r="I35" s="14"/>
      <c r="J35" s="14"/>
      <c r="K35" s="18">
        <f>SUM(F35:J35)</f>
        <v>1118903</v>
      </c>
      <c r="L35" s="533" t="s">
        <v>388</v>
      </c>
    </row>
    <row r="36" spans="1:12" s="20" customFormat="1" ht="12.75">
      <c r="A36" s="30"/>
      <c r="B36" s="514"/>
      <c r="C36" s="520"/>
      <c r="D36" s="525"/>
      <c r="E36" s="14" t="s">
        <v>378</v>
      </c>
      <c r="F36" s="14">
        <v>851579</v>
      </c>
      <c r="G36" s="14">
        <v>267324</v>
      </c>
      <c r="H36" s="14"/>
      <c r="I36" s="14"/>
      <c r="J36" s="14"/>
      <c r="K36" s="18">
        <f>SUM(F36:J36)</f>
        <v>1118903</v>
      </c>
      <c r="L36" s="534"/>
    </row>
    <row r="37" spans="1:12" s="20" customFormat="1" ht="12.75">
      <c r="A37" s="30"/>
      <c r="B37" s="515"/>
      <c r="C37" s="521"/>
      <c r="D37" s="526"/>
      <c r="E37" s="14" t="s">
        <v>379</v>
      </c>
      <c r="F37" s="14">
        <v>0</v>
      </c>
      <c r="G37" s="14">
        <v>0</v>
      </c>
      <c r="H37" s="14"/>
      <c r="I37" s="14"/>
      <c r="J37" s="14"/>
      <c r="K37" s="18">
        <f>SUM(F37:J37)</f>
        <v>0</v>
      </c>
      <c r="L37" s="535"/>
    </row>
    <row r="38" spans="1:12" s="20" customFormat="1" ht="12.75">
      <c r="A38" s="30"/>
      <c r="B38" s="22"/>
      <c r="C38" s="31"/>
      <c r="D38" s="43"/>
      <c r="E38" s="22"/>
      <c r="F38" s="14"/>
      <c r="G38" s="14"/>
      <c r="H38" s="14"/>
      <c r="I38" s="14"/>
      <c r="J38" s="14"/>
      <c r="K38" s="18"/>
      <c r="L38" s="92"/>
    </row>
    <row r="39" spans="1:12" s="20" customFormat="1" ht="12.75">
      <c r="A39" s="30"/>
      <c r="B39" s="513" t="s">
        <v>136</v>
      </c>
      <c r="C39" s="519" t="s">
        <v>137</v>
      </c>
      <c r="D39" s="516" t="s">
        <v>138</v>
      </c>
      <c r="E39" s="14" t="s">
        <v>376</v>
      </c>
      <c r="F39" s="14">
        <v>300000</v>
      </c>
      <c r="G39" s="14">
        <v>96000</v>
      </c>
      <c r="H39" s="14"/>
      <c r="I39" s="14"/>
      <c r="J39" s="14"/>
      <c r="K39" s="18">
        <f>SUM(F39:J39)</f>
        <v>396000</v>
      </c>
      <c r="L39" s="533" t="s">
        <v>389</v>
      </c>
    </row>
    <row r="40" spans="1:12" s="20" customFormat="1" ht="12.75">
      <c r="A40" s="30"/>
      <c r="B40" s="514"/>
      <c r="C40" s="520"/>
      <c r="D40" s="517"/>
      <c r="E40" s="14" t="s">
        <v>378</v>
      </c>
      <c r="F40" s="14">
        <v>300000</v>
      </c>
      <c r="G40" s="14">
        <v>96000</v>
      </c>
      <c r="H40" s="14"/>
      <c r="I40" s="14"/>
      <c r="J40" s="14"/>
      <c r="K40" s="18">
        <f>SUM(F40:J40)</f>
        <v>396000</v>
      </c>
      <c r="L40" s="534"/>
    </row>
    <row r="41" spans="1:12" s="20" customFormat="1" ht="12.75">
      <c r="A41" s="30"/>
      <c r="B41" s="515"/>
      <c r="C41" s="521"/>
      <c r="D41" s="518"/>
      <c r="E41" s="14" t="s">
        <v>379</v>
      </c>
      <c r="F41" s="14">
        <v>0</v>
      </c>
      <c r="G41" s="14">
        <v>0</v>
      </c>
      <c r="H41" s="14"/>
      <c r="I41" s="14"/>
      <c r="J41" s="14"/>
      <c r="K41" s="18">
        <f>SUM(F41:J41)</f>
        <v>0</v>
      </c>
      <c r="L41" s="535"/>
    </row>
    <row r="42" spans="1:12" s="20" customFormat="1" ht="12.75">
      <c r="A42" s="30"/>
      <c r="B42" s="22"/>
      <c r="C42" s="31"/>
      <c r="D42" s="91"/>
      <c r="E42" s="14"/>
      <c r="F42" s="14"/>
      <c r="G42" s="14"/>
      <c r="H42" s="14"/>
      <c r="I42" s="14"/>
      <c r="J42" s="14"/>
      <c r="K42" s="18"/>
      <c r="L42" s="92"/>
    </row>
    <row r="43" spans="1:12" s="20" customFormat="1" ht="12.75">
      <c r="A43" s="30"/>
      <c r="B43" s="513" t="s">
        <v>147</v>
      </c>
      <c r="C43" s="519" t="s">
        <v>148</v>
      </c>
      <c r="D43" s="516" t="s">
        <v>390</v>
      </c>
      <c r="E43" s="14" t="s">
        <v>376</v>
      </c>
      <c r="F43" s="14">
        <v>26654</v>
      </c>
      <c r="G43" s="14">
        <v>9865</v>
      </c>
      <c r="H43" s="14"/>
      <c r="I43" s="14">
        <v>2237</v>
      </c>
      <c r="J43" s="14"/>
      <c r="K43" s="18">
        <f>SUM(F43:J43)</f>
        <v>38756</v>
      </c>
      <c r="L43" s="533" t="s">
        <v>414</v>
      </c>
    </row>
    <row r="44" spans="1:12" s="20" customFormat="1" ht="12.75">
      <c r="A44" s="30"/>
      <c r="B44" s="514"/>
      <c r="C44" s="520"/>
      <c r="D44" s="517"/>
      <c r="E44" s="14" t="s">
        <v>378</v>
      </c>
      <c r="F44" s="14">
        <v>24768</v>
      </c>
      <c r="G44" s="14">
        <v>9206</v>
      </c>
      <c r="H44" s="14"/>
      <c r="I44" s="14">
        <v>2261</v>
      </c>
      <c r="J44" s="14"/>
      <c r="K44" s="18">
        <f>SUM(F44:J44)</f>
        <v>36235</v>
      </c>
      <c r="L44" s="534"/>
    </row>
    <row r="45" spans="1:12" s="20" customFormat="1" ht="12.75">
      <c r="A45" s="30"/>
      <c r="B45" s="515"/>
      <c r="C45" s="521"/>
      <c r="D45" s="518"/>
      <c r="E45" s="14" t="s">
        <v>379</v>
      </c>
      <c r="F45" s="14">
        <f>F43-F44</f>
        <v>1886</v>
      </c>
      <c r="G45" s="14">
        <f>G43-G44</f>
        <v>659</v>
      </c>
      <c r="H45" s="14"/>
      <c r="I45" s="14">
        <f>I43-I44</f>
        <v>-24</v>
      </c>
      <c r="J45" s="14"/>
      <c r="K45" s="18">
        <f>SUM(F45:J45)</f>
        <v>2521</v>
      </c>
      <c r="L45" s="535"/>
    </row>
    <row r="46" spans="1:12" s="20" customFormat="1" ht="12.75">
      <c r="A46" s="30"/>
      <c r="B46" s="22"/>
      <c r="C46" s="31"/>
      <c r="D46" s="91"/>
      <c r="E46" s="14"/>
      <c r="F46" s="14"/>
      <c r="G46" s="14"/>
      <c r="H46" s="14"/>
      <c r="I46" s="14"/>
      <c r="J46" s="14"/>
      <c r="K46" s="18"/>
      <c r="L46" s="92"/>
    </row>
    <row r="47" spans="1:12" s="20" customFormat="1" ht="12.75">
      <c r="A47" s="30"/>
      <c r="B47" s="513" t="s">
        <v>150</v>
      </c>
      <c r="C47" s="519" t="s">
        <v>151</v>
      </c>
      <c r="D47" s="516" t="s">
        <v>391</v>
      </c>
      <c r="E47" s="14" t="s">
        <v>376</v>
      </c>
      <c r="F47" s="14">
        <v>204</v>
      </c>
      <c r="G47" s="14">
        <v>96</v>
      </c>
      <c r="H47" s="14"/>
      <c r="I47" s="14"/>
      <c r="J47" s="14"/>
      <c r="K47" s="18">
        <f>SUM(F47:J47)</f>
        <v>300</v>
      </c>
      <c r="L47" s="533" t="s">
        <v>392</v>
      </c>
    </row>
    <row r="48" spans="1:12" s="20" customFormat="1" ht="12.75">
      <c r="A48" s="30"/>
      <c r="B48" s="514"/>
      <c r="C48" s="520"/>
      <c r="D48" s="517"/>
      <c r="E48" s="14" t="s">
        <v>378</v>
      </c>
      <c r="F48" s="14">
        <v>204</v>
      </c>
      <c r="G48" s="14">
        <v>96</v>
      </c>
      <c r="H48" s="14"/>
      <c r="I48" s="14"/>
      <c r="J48" s="14"/>
      <c r="K48" s="18">
        <f>SUM(F48:J48)</f>
        <v>300</v>
      </c>
      <c r="L48" s="534"/>
    </row>
    <row r="49" spans="1:12" s="20" customFormat="1" ht="12.75">
      <c r="A49" s="30"/>
      <c r="B49" s="515"/>
      <c r="C49" s="521"/>
      <c r="D49" s="518"/>
      <c r="E49" s="14" t="s">
        <v>379</v>
      </c>
      <c r="F49" s="14">
        <v>0</v>
      </c>
      <c r="G49" s="14">
        <v>0</v>
      </c>
      <c r="H49" s="14"/>
      <c r="I49" s="14"/>
      <c r="J49" s="14"/>
      <c r="K49" s="18">
        <f>SUM(F49:J49)</f>
        <v>0</v>
      </c>
      <c r="L49" s="535"/>
    </row>
    <row r="50" spans="1:12" s="20" customFormat="1" ht="12.75">
      <c r="A50" s="30"/>
      <c r="B50" s="22"/>
      <c r="C50" s="31"/>
      <c r="D50" s="91"/>
      <c r="E50" s="14"/>
      <c r="F50" s="14"/>
      <c r="G50" s="14"/>
      <c r="H50" s="14"/>
      <c r="I50" s="14"/>
      <c r="J50" s="14"/>
      <c r="K50" s="18"/>
      <c r="L50" s="92"/>
    </row>
    <row r="51" spans="1:12" s="20" customFormat="1" ht="12.75">
      <c r="A51" s="30"/>
      <c r="B51" s="513" t="s">
        <v>153</v>
      </c>
      <c r="C51" s="519" t="s">
        <v>154</v>
      </c>
      <c r="D51" s="524" t="s">
        <v>155</v>
      </c>
      <c r="E51" s="14" t="s">
        <v>376</v>
      </c>
      <c r="F51" s="14">
        <v>51272</v>
      </c>
      <c r="G51" s="14">
        <v>1000</v>
      </c>
      <c r="H51" s="14"/>
      <c r="I51" s="14"/>
      <c r="J51" s="14"/>
      <c r="K51" s="18">
        <f>SUM(F51:J51)</f>
        <v>52272</v>
      </c>
      <c r="L51" s="542" t="s">
        <v>393</v>
      </c>
    </row>
    <row r="52" spans="1:12" s="20" customFormat="1" ht="12.75">
      <c r="A52" s="30"/>
      <c r="B52" s="514"/>
      <c r="C52" s="520"/>
      <c r="D52" s="525"/>
      <c r="E52" s="14" t="s">
        <v>378</v>
      </c>
      <c r="F52" s="14">
        <v>51272</v>
      </c>
      <c r="G52" s="14">
        <v>1000</v>
      </c>
      <c r="H52" s="14"/>
      <c r="I52" s="14"/>
      <c r="J52" s="14"/>
      <c r="K52" s="18">
        <f>SUM(F52:J52)</f>
        <v>52272</v>
      </c>
      <c r="L52" s="543"/>
    </row>
    <row r="53" spans="1:12" s="20" customFormat="1" ht="12.75">
      <c r="A53" s="30"/>
      <c r="B53" s="515"/>
      <c r="C53" s="521"/>
      <c r="D53" s="526"/>
      <c r="E53" s="14" t="s">
        <v>379</v>
      </c>
      <c r="F53" s="14">
        <v>0</v>
      </c>
      <c r="G53" s="14">
        <v>0</v>
      </c>
      <c r="H53" s="14"/>
      <c r="I53" s="14"/>
      <c r="J53" s="14"/>
      <c r="K53" s="18">
        <f>SUM(F53:J53)</f>
        <v>0</v>
      </c>
      <c r="L53" s="544"/>
    </row>
    <row r="54" spans="1:12" s="20" customFormat="1" ht="12.75">
      <c r="A54" s="30"/>
      <c r="B54" s="22"/>
      <c r="C54" s="31"/>
      <c r="D54" s="43"/>
      <c r="E54" s="22"/>
      <c r="F54" s="14"/>
      <c r="G54" s="14"/>
      <c r="H54" s="14"/>
      <c r="I54" s="14"/>
      <c r="J54" s="14"/>
      <c r="K54" s="18"/>
      <c r="L54" s="92"/>
    </row>
    <row r="55" spans="1:12" s="20" customFormat="1" ht="12.75">
      <c r="A55" s="30"/>
      <c r="B55" s="513" t="s">
        <v>156</v>
      </c>
      <c r="C55" s="519" t="s">
        <v>157</v>
      </c>
      <c r="D55" s="524" t="s">
        <v>158</v>
      </c>
      <c r="E55" s="14" t="s">
        <v>376</v>
      </c>
      <c r="F55" s="14">
        <v>23800</v>
      </c>
      <c r="G55" s="14">
        <v>6200</v>
      </c>
      <c r="H55" s="14"/>
      <c r="I55" s="14"/>
      <c r="J55" s="14"/>
      <c r="K55" s="18">
        <f>SUM(F55:J55)</f>
        <v>30000</v>
      </c>
      <c r="L55" s="533" t="s">
        <v>394</v>
      </c>
    </row>
    <row r="56" spans="1:12" s="20" customFormat="1" ht="12.75">
      <c r="A56" s="30"/>
      <c r="B56" s="514"/>
      <c r="C56" s="520"/>
      <c r="D56" s="525"/>
      <c r="E56" s="14" t="s">
        <v>378</v>
      </c>
      <c r="F56" s="14">
        <v>23800</v>
      </c>
      <c r="G56" s="14">
        <v>6200</v>
      </c>
      <c r="H56" s="14"/>
      <c r="I56" s="14"/>
      <c r="J56" s="14"/>
      <c r="K56" s="18">
        <f>SUM(F56:J56)</f>
        <v>30000</v>
      </c>
      <c r="L56" s="534"/>
    </row>
    <row r="57" spans="1:12" s="20" customFormat="1" ht="12.75">
      <c r="A57" s="30"/>
      <c r="B57" s="515"/>
      <c r="C57" s="521"/>
      <c r="D57" s="526"/>
      <c r="E57" s="14" t="s">
        <v>379</v>
      </c>
      <c r="F57" s="14">
        <v>0</v>
      </c>
      <c r="G57" s="14">
        <v>0</v>
      </c>
      <c r="H57" s="14"/>
      <c r="I57" s="14"/>
      <c r="J57" s="14"/>
      <c r="K57" s="18">
        <f>SUM(F57:J57)</f>
        <v>0</v>
      </c>
      <c r="L57" s="535"/>
    </row>
    <row r="58" spans="1:12" s="20" customFormat="1" ht="12.75">
      <c r="A58" s="30"/>
      <c r="B58" s="22"/>
      <c r="C58" s="31"/>
      <c r="D58" s="43"/>
      <c r="E58" s="22"/>
      <c r="F58" s="14"/>
      <c r="G58" s="14"/>
      <c r="H58" s="14"/>
      <c r="I58" s="14"/>
      <c r="J58" s="14"/>
      <c r="K58" s="18"/>
      <c r="L58" s="92"/>
    </row>
    <row r="59" spans="1:12" s="20" customFormat="1" ht="12.75">
      <c r="A59" s="30"/>
      <c r="B59" s="513" t="s">
        <v>159</v>
      </c>
      <c r="C59" s="519" t="s">
        <v>160</v>
      </c>
      <c r="D59" s="524" t="s">
        <v>161</v>
      </c>
      <c r="E59" s="14" t="s">
        <v>376</v>
      </c>
      <c r="F59" s="14">
        <v>73095</v>
      </c>
      <c r="G59" s="14">
        <v>23390</v>
      </c>
      <c r="H59" s="14"/>
      <c r="I59" s="14"/>
      <c r="J59" s="14"/>
      <c r="K59" s="18">
        <f>SUM(F59:J59)</f>
        <v>96485</v>
      </c>
      <c r="L59" s="533" t="s">
        <v>395</v>
      </c>
    </row>
    <row r="60" spans="1:12" s="20" customFormat="1" ht="12.75">
      <c r="A60" s="30"/>
      <c r="B60" s="514"/>
      <c r="C60" s="520"/>
      <c r="D60" s="525"/>
      <c r="E60" s="14" t="s">
        <v>378</v>
      </c>
      <c r="F60" s="14">
        <v>73095</v>
      </c>
      <c r="G60" s="14">
        <v>23390</v>
      </c>
      <c r="H60" s="14"/>
      <c r="I60" s="14"/>
      <c r="J60" s="14"/>
      <c r="K60" s="18">
        <f>SUM(F60:J60)</f>
        <v>96485</v>
      </c>
      <c r="L60" s="534"/>
    </row>
    <row r="61" spans="1:12" s="20" customFormat="1" ht="12.75">
      <c r="A61" s="30"/>
      <c r="B61" s="515"/>
      <c r="C61" s="521"/>
      <c r="D61" s="526"/>
      <c r="E61" s="14" t="s">
        <v>379</v>
      </c>
      <c r="F61" s="14">
        <v>0</v>
      </c>
      <c r="G61" s="14">
        <v>0</v>
      </c>
      <c r="H61" s="14"/>
      <c r="I61" s="14"/>
      <c r="J61" s="14"/>
      <c r="K61" s="18">
        <f>SUM(F61:J61)</f>
        <v>0</v>
      </c>
      <c r="L61" s="535"/>
    </row>
    <row r="62" spans="1:12" s="20" customFormat="1" ht="12.75">
      <c r="A62" s="30"/>
      <c r="B62" s="22"/>
      <c r="C62" s="31"/>
      <c r="D62" s="43"/>
      <c r="E62" s="22"/>
      <c r="F62" s="14"/>
      <c r="G62" s="14"/>
      <c r="H62" s="14"/>
      <c r="I62" s="14"/>
      <c r="J62" s="14"/>
      <c r="K62" s="18"/>
      <c r="L62" s="92"/>
    </row>
    <row r="63" spans="1:12" s="20" customFormat="1" ht="12.75">
      <c r="A63" s="44"/>
      <c r="B63" s="513" t="s">
        <v>185</v>
      </c>
      <c r="C63" s="519" t="s">
        <v>186</v>
      </c>
      <c r="D63" s="524" t="s">
        <v>187</v>
      </c>
      <c r="E63" s="14" t="s">
        <v>376</v>
      </c>
      <c r="F63" s="14">
        <v>58936</v>
      </c>
      <c r="G63" s="14">
        <v>1000</v>
      </c>
      <c r="H63" s="14"/>
      <c r="I63" s="14"/>
      <c r="J63" s="14"/>
      <c r="K63" s="18">
        <f>SUM(F63:J63)</f>
        <v>59936</v>
      </c>
      <c r="L63" s="542" t="s">
        <v>396</v>
      </c>
    </row>
    <row r="64" spans="1:12" s="20" customFormat="1" ht="12.75">
      <c r="A64" s="30"/>
      <c r="B64" s="514"/>
      <c r="C64" s="520"/>
      <c r="D64" s="525"/>
      <c r="E64" s="14" t="s">
        <v>378</v>
      </c>
      <c r="F64" s="14">
        <v>58936</v>
      </c>
      <c r="G64" s="14">
        <v>1000</v>
      </c>
      <c r="H64" s="14"/>
      <c r="I64" s="14"/>
      <c r="J64" s="14"/>
      <c r="K64" s="18">
        <f>SUM(F64:J64)</f>
        <v>59936</v>
      </c>
      <c r="L64" s="543"/>
    </row>
    <row r="65" spans="1:12" s="20" customFormat="1" ht="12.75">
      <c r="A65" s="30"/>
      <c r="B65" s="515"/>
      <c r="C65" s="521"/>
      <c r="D65" s="526"/>
      <c r="E65" s="14" t="s">
        <v>379</v>
      </c>
      <c r="F65" s="14">
        <v>0</v>
      </c>
      <c r="G65" s="14">
        <v>0</v>
      </c>
      <c r="H65" s="14"/>
      <c r="I65" s="14"/>
      <c r="J65" s="14"/>
      <c r="K65" s="18">
        <f>SUM(F65:J65)</f>
        <v>0</v>
      </c>
      <c r="L65" s="544"/>
    </row>
    <row r="66" spans="1:12" s="20" customFormat="1" ht="12.75">
      <c r="A66" s="30"/>
      <c r="B66" s="22"/>
      <c r="C66" s="31"/>
      <c r="D66" s="43"/>
      <c r="E66" s="22"/>
      <c r="F66" s="14"/>
      <c r="G66" s="14"/>
      <c r="H66" s="14"/>
      <c r="I66" s="14"/>
      <c r="J66" s="14"/>
      <c r="K66" s="18"/>
      <c r="L66" s="92"/>
    </row>
    <row r="67" spans="1:12" s="20" customFormat="1" ht="12.75">
      <c r="A67" s="30"/>
      <c r="B67" s="513" t="s">
        <v>196</v>
      </c>
      <c r="C67" s="519" t="s">
        <v>197</v>
      </c>
      <c r="D67" s="524" t="s">
        <v>198</v>
      </c>
      <c r="E67" s="14" t="s">
        <v>376</v>
      </c>
      <c r="F67" s="14">
        <v>37862</v>
      </c>
      <c r="G67" s="14">
        <v>12117</v>
      </c>
      <c r="H67" s="14">
        <v>10000</v>
      </c>
      <c r="I67" s="14"/>
      <c r="J67" s="14"/>
      <c r="K67" s="18">
        <f>SUM(F67:J67)</f>
        <v>59979</v>
      </c>
      <c r="L67" s="542" t="s">
        <v>397</v>
      </c>
    </row>
    <row r="68" spans="1:12" s="20" customFormat="1" ht="12.75">
      <c r="A68" s="30"/>
      <c r="B68" s="514"/>
      <c r="C68" s="520"/>
      <c r="D68" s="525"/>
      <c r="E68" s="14" t="s">
        <v>378</v>
      </c>
      <c r="F68" s="14">
        <v>37862</v>
      </c>
      <c r="G68" s="14">
        <v>12117</v>
      </c>
      <c r="H68" s="14">
        <v>10000</v>
      </c>
      <c r="I68" s="14"/>
      <c r="J68" s="14"/>
      <c r="K68" s="18">
        <f>SUM(F68:J68)</f>
        <v>59979</v>
      </c>
      <c r="L68" s="543"/>
    </row>
    <row r="69" spans="1:12" s="20" customFormat="1" ht="12.75">
      <c r="A69" s="30"/>
      <c r="B69" s="515"/>
      <c r="C69" s="521"/>
      <c r="D69" s="526"/>
      <c r="E69" s="14" t="s">
        <v>379</v>
      </c>
      <c r="F69" s="14">
        <v>0</v>
      </c>
      <c r="G69" s="14">
        <v>0</v>
      </c>
      <c r="H69" s="14">
        <v>0</v>
      </c>
      <c r="I69" s="14"/>
      <c r="J69" s="14"/>
      <c r="K69" s="18">
        <f>SUM(F69:J69)</f>
        <v>0</v>
      </c>
      <c r="L69" s="544"/>
    </row>
    <row r="70" spans="1:12" s="20" customFormat="1" ht="12.75">
      <c r="A70" s="30"/>
      <c r="B70" s="22"/>
      <c r="C70" s="31"/>
      <c r="D70" s="43"/>
      <c r="E70" s="22"/>
      <c r="F70" s="14"/>
      <c r="G70" s="14"/>
      <c r="H70" s="14"/>
      <c r="I70" s="14"/>
      <c r="J70" s="14"/>
      <c r="K70" s="18"/>
      <c r="L70" s="92"/>
    </row>
    <row r="71" spans="1:12" s="20" customFormat="1" ht="12.75">
      <c r="A71" s="30"/>
      <c r="B71" s="513" t="s">
        <v>199</v>
      </c>
      <c r="C71" s="519" t="s">
        <v>200</v>
      </c>
      <c r="D71" s="524" t="s">
        <v>201</v>
      </c>
      <c r="E71" s="14" t="s">
        <v>376</v>
      </c>
      <c r="F71" s="14">
        <v>59282</v>
      </c>
      <c r="G71" s="14">
        <v>18757</v>
      </c>
      <c r="H71" s="14"/>
      <c r="I71" s="14"/>
      <c r="J71" s="14"/>
      <c r="K71" s="18">
        <f>SUM(F71:J71)</f>
        <v>78039</v>
      </c>
      <c r="L71" s="533" t="s">
        <v>398</v>
      </c>
    </row>
    <row r="72" spans="1:12" s="20" customFormat="1" ht="12.75">
      <c r="A72" s="30"/>
      <c r="B72" s="514"/>
      <c r="C72" s="520"/>
      <c r="D72" s="525"/>
      <c r="E72" s="14" t="s">
        <v>378</v>
      </c>
      <c r="F72" s="14">
        <v>59282</v>
      </c>
      <c r="G72" s="14">
        <v>18757</v>
      </c>
      <c r="H72" s="14"/>
      <c r="I72" s="14"/>
      <c r="J72" s="14"/>
      <c r="K72" s="18">
        <f>SUM(F72:J72)</f>
        <v>78039</v>
      </c>
      <c r="L72" s="534"/>
    </row>
    <row r="73" spans="1:12" s="20" customFormat="1" ht="12.75">
      <c r="A73" s="30"/>
      <c r="B73" s="515"/>
      <c r="C73" s="521"/>
      <c r="D73" s="526"/>
      <c r="E73" s="14" t="s">
        <v>379</v>
      </c>
      <c r="F73" s="14">
        <v>0</v>
      </c>
      <c r="G73" s="14">
        <v>0</v>
      </c>
      <c r="H73" s="14"/>
      <c r="I73" s="14"/>
      <c r="J73" s="14"/>
      <c r="K73" s="18">
        <f>SUM(F73:J73)</f>
        <v>0</v>
      </c>
      <c r="L73" s="535"/>
    </row>
    <row r="74" spans="1:12" s="20" customFormat="1" ht="12.75">
      <c r="A74" s="30"/>
      <c r="B74" s="22"/>
      <c r="C74" s="31"/>
      <c r="D74" s="43"/>
      <c r="E74" s="22"/>
      <c r="F74" s="14"/>
      <c r="G74" s="14"/>
      <c r="H74" s="14"/>
      <c r="I74" s="14"/>
      <c r="J74" s="14"/>
      <c r="K74" s="18"/>
      <c r="L74" s="92"/>
    </row>
    <row r="75" spans="1:12" s="20" customFormat="1" ht="12.75">
      <c r="A75" s="30"/>
      <c r="B75" s="513" t="s">
        <v>202</v>
      </c>
      <c r="C75" s="519" t="s">
        <v>203</v>
      </c>
      <c r="D75" s="524" t="s">
        <v>204</v>
      </c>
      <c r="E75" s="14" t="s">
        <v>376</v>
      </c>
      <c r="F75" s="14">
        <v>176404</v>
      </c>
      <c r="G75" s="14">
        <v>56445</v>
      </c>
      <c r="H75" s="14"/>
      <c r="I75" s="14"/>
      <c r="J75" s="14"/>
      <c r="K75" s="18">
        <f>SUM(F75:J75)</f>
        <v>232849</v>
      </c>
      <c r="L75" s="533" t="s">
        <v>415</v>
      </c>
    </row>
    <row r="76" spans="1:12" s="20" customFormat="1" ht="12.75">
      <c r="A76" s="30"/>
      <c r="B76" s="514"/>
      <c r="C76" s="520"/>
      <c r="D76" s="525"/>
      <c r="E76" s="14" t="s">
        <v>378</v>
      </c>
      <c r="F76" s="14">
        <f>F75-F77</f>
        <v>164903</v>
      </c>
      <c r="G76" s="14">
        <f>G75-G77</f>
        <v>52348</v>
      </c>
      <c r="H76" s="14"/>
      <c r="I76" s="14"/>
      <c r="J76" s="14"/>
      <c r="K76" s="18">
        <f>SUM(F76:J76)</f>
        <v>217251</v>
      </c>
      <c r="L76" s="534"/>
    </row>
    <row r="77" spans="1:12" s="20" customFormat="1" ht="12.75">
      <c r="A77" s="30"/>
      <c r="B77" s="515"/>
      <c r="C77" s="521"/>
      <c r="D77" s="526"/>
      <c r="E77" s="14" t="s">
        <v>379</v>
      </c>
      <c r="F77" s="14">
        <v>11501</v>
      </c>
      <c r="G77" s="14">
        <v>4097</v>
      </c>
      <c r="H77" s="14"/>
      <c r="I77" s="14"/>
      <c r="J77" s="14"/>
      <c r="K77" s="18">
        <f>SUM(F77:J77)</f>
        <v>15598</v>
      </c>
      <c r="L77" s="535"/>
    </row>
    <row r="78" spans="1:12" s="20" customFormat="1" ht="12.75">
      <c r="A78" s="30"/>
      <c r="B78" s="22"/>
      <c r="C78" s="31"/>
      <c r="D78" s="43"/>
      <c r="E78" s="22"/>
      <c r="F78" s="14"/>
      <c r="G78" s="14"/>
      <c r="H78" s="14"/>
      <c r="I78" s="14"/>
      <c r="J78" s="14"/>
      <c r="K78" s="18"/>
      <c r="L78" s="92"/>
    </row>
    <row r="79" spans="1:12" s="20" customFormat="1" ht="12.75">
      <c r="A79" s="30"/>
      <c r="B79" s="513" t="s">
        <v>212</v>
      </c>
      <c r="C79" s="519" t="s">
        <v>213</v>
      </c>
      <c r="D79" s="536" t="s">
        <v>214</v>
      </c>
      <c r="E79" s="14" t="s">
        <v>376</v>
      </c>
      <c r="F79" s="14">
        <v>27240</v>
      </c>
      <c r="G79" s="14">
        <v>8037</v>
      </c>
      <c r="H79" s="14">
        <v>9378</v>
      </c>
      <c r="I79" s="14"/>
      <c r="J79" s="46"/>
      <c r="K79" s="18">
        <f>SUM(F79:J79)</f>
        <v>44655</v>
      </c>
      <c r="L79" s="542" t="s">
        <v>399</v>
      </c>
    </row>
    <row r="80" spans="1:12" s="20" customFormat="1" ht="12.75">
      <c r="A80" s="30"/>
      <c r="B80" s="514"/>
      <c r="C80" s="520"/>
      <c r="D80" s="537"/>
      <c r="E80" s="14" t="s">
        <v>378</v>
      </c>
      <c r="F80" s="14">
        <v>27240</v>
      </c>
      <c r="G80" s="14">
        <v>8037</v>
      </c>
      <c r="H80" s="14">
        <v>9378</v>
      </c>
      <c r="I80" s="14"/>
      <c r="J80" s="46"/>
      <c r="K80" s="18">
        <f>SUM(F80:J80)</f>
        <v>44655</v>
      </c>
      <c r="L80" s="543"/>
    </row>
    <row r="81" spans="1:12" s="20" customFormat="1" ht="12.75">
      <c r="A81" s="30"/>
      <c r="B81" s="515"/>
      <c r="C81" s="521"/>
      <c r="D81" s="538"/>
      <c r="E81" s="14" t="s">
        <v>379</v>
      </c>
      <c r="F81" s="14">
        <v>0</v>
      </c>
      <c r="G81" s="14">
        <v>0</v>
      </c>
      <c r="H81" s="14">
        <v>0</v>
      </c>
      <c r="I81" s="14"/>
      <c r="J81" s="46"/>
      <c r="K81" s="18">
        <f>SUM(F81:J81)</f>
        <v>0</v>
      </c>
      <c r="L81" s="544"/>
    </row>
    <row r="82" spans="1:12" s="20" customFormat="1" ht="15" customHeight="1">
      <c r="A82" s="30"/>
      <c r="B82" s="22"/>
      <c r="C82" s="31"/>
      <c r="D82" s="55"/>
      <c r="E82" s="51"/>
      <c r="F82" s="14"/>
      <c r="G82" s="14"/>
      <c r="H82" s="14"/>
      <c r="I82" s="14"/>
      <c r="J82" s="46"/>
      <c r="K82" s="18"/>
      <c r="L82" s="93"/>
    </row>
    <row r="83" spans="1:12" s="20" customFormat="1" ht="12.75">
      <c r="A83" s="30"/>
      <c r="B83" s="513" t="s">
        <v>217</v>
      </c>
      <c r="C83" s="519" t="s">
        <v>218</v>
      </c>
      <c r="D83" s="524" t="s">
        <v>400</v>
      </c>
      <c r="E83" s="14" t="s">
        <v>376</v>
      </c>
      <c r="F83" s="14"/>
      <c r="G83" s="14"/>
      <c r="H83" s="14">
        <v>41804</v>
      </c>
      <c r="I83" s="14"/>
      <c r="J83" s="14"/>
      <c r="K83" s="18">
        <f>SUM(F83:J83)</f>
        <v>41804</v>
      </c>
      <c r="L83" s="542" t="s">
        <v>401</v>
      </c>
    </row>
    <row r="84" spans="1:12" s="20" customFormat="1" ht="12.75" customHeight="1">
      <c r="A84" s="30"/>
      <c r="B84" s="514"/>
      <c r="C84" s="520"/>
      <c r="D84" s="525"/>
      <c r="E84" s="14" t="s">
        <v>378</v>
      </c>
      <c r="F84" s="14"/>
      <c r="G84" s="14"/>
      <c r="H84" s="14">
        <v>41804</v>
      </c>
      <c r="I84" s="14"/>
      <c r="J84" s="14"/>
      <c r="K84" s="18">
        <f>SUM(F84:J84)</f>
        <v>41804</v>
      </c>
      <c r="L84" s="543"/>
    </row>
    <row r="85" spans="1:12" s="20" customFormat="1" ht="12.75">
      <c r="A85" s="30"/>
      <c r="B85" s="515"/>
      <c r="C85" s="521"/>
      <c r="D85" s="526"/>
      <c r="E85" s="14" t="s">
        <v>379</v>
      </c>
      <c r="F85" s="14"/>
      <c r="G85" s="14"/>
      <c r="H85" s="14">
        <v>0</v>
      </c>
      <c r="I85" s="14"/>
      <c r="J85" s="14"/>
      <c r="K85" s="18">
        <f>SUM(F85:J85)</f>
        <v>0</v>
      </c>
      <c r="L85" s="544"/>
    </row>
    <row r="86" spans="1:11" s="20" customFormat="1" ht="12.75">
      <c r="A86" s="30"/>
      <c r="B86" s="22"/>
      <c r="C86" s="31"/>
      <c r="D86" s="43"/>
      <c r="E86" s="22"/>
      <c r="F86" s="14"/>
      <c r="G86" s="14"/>
      <c r="H86" s="14"/>
      <c r="I86" s="14"/>
      <c r="J86" s="14"/>
      <c r="K86" s="18"/>
    </row>
    <row r="87" spans="1:12" s="20" customFormat="1" ht="12.75">
      <c r="A87" s="30"/>
      <c r="B87" s="513" t="s">
        <v>232</v>
      </c>
      <c r="C87" s="519" t="s">
        <v>233</v>
      </c>
      <c r="D87" s="516" t="s">
        <v>234</v>
      </c>
      <c r="E87" s="14" t="s">
        <v>376</v>
      </c>
      <c r="F87" s="14"/>
      <c r="G87" s="14"/>
      <c r="H87" s="14"/>
      <c r="I87" s="14"/>
      <c r="J87" s="14">
        <v>30000</v>
      </c>
      <c r="K87" s="18">
        <f>SUM(F87:J87)</f>
        <v>30000</v>
      </c>
      <c r="L87" s="533" t="s">
        <v>402</v>
      </c>
    </row>
    <row r="88" spans="1:12" s="20" customFormat="1" ht="12.75">
      <c r="A88" s="30"/>
      <c r="B88" s="514"/>
      <c r="C88" s="520"/>
      <c r="D88" s="517"/>
      <c r="E88" s="14" t="s">
        <v>378</v>
      </c>
      <c r="F88" s="14"/>
      <c r="G88" s="14"/>
      <c r="H88" s="14"/>
      <c r="I88" s="14"/>
      <c r="J88" s="14">
        <v>30000</v>
      </c>
      <c r="K88" s="18">
        <f>SUM(F88:J88)</f>
        <v>30000</v>
      </c>
      <c r="L88" s="534"/>
    </row>
    <row r="89" spans="1:12" s="20" customFormat="1" ht="12.75">
      <c r="A89" s="30"/>
      <c r="B89" s="515"/>
      <c r="C89" s="521"/>
      <c r="D89" s="518"/>
      <c r="E89" s="14" t="s">
        <v>379</v>
      </c>
      <c r="F89" s="14"/>
      <c r="G89" s="14"/>
      <c r="H89" s="14"/>
      <c r="I89" s="14"/>
      <c r="J89" s="14">
        <v>0</v>
      </c>
      <c r="K89" s="18">
        <f>SUM(F89:J89)</f>
        <v>0</v>
      </c>
      <c r="L89" s="535"/>
    </row>
    <row r="90" spans="1:12" s="20" customFormat="1" ht="12.75">
      <c r="A90" s="30"/>
      <c r="B90" s="22"/>
      <c r="C90" s="31"/>
      <c r="D90" s="91"/>
      <c r="E90" s="14"/>
      <c r="F90" s="14"/>
      <c r="G90" s="14"/>
      <c r="H90" s="14"/>
      <c r="I90" s="14"/>
      <c r="J90" s="14"/>
      <c r="K90" s="18"/>
      <c r="L90" s="92"/>
    </row>
    <row r="91" spans="1:12" s="20" customFormat="1" ht="12.75">
      <c r="A91" s="30"/>
      <c r="B91" s="513" t="s">
        <v>235</v>
      </c>
      <c r="C91" s="519" t="s">
        <v>236</v>
      </c>
      <c r="D91" s="524" t="s">
        <v>237</v>
      </c>
      <c r="E91" s="14" t="s">
        <v>376</v>
      </c>
      <c r="F91" s="14"/>
      <c r="G91" s="14"/>
      <c r="H91" s="14">
        <v>64521</v>
      </c>
      <c r="I91" s="14"/>
      <c r="J91" s="14"/>
      <c r="K91" s="18">
        <f>SUM(F91:J91)</f>
        <v>64521</v>
      </c>
      <c r="L91" s="542" t="s">
        <v>403</v>
      </c>
    </row>
    <row r="92" spans="1:12" s="20" customFormat="1" ht="12.75">
      <c r="A92" s="30"/>
      <c r="B92" s="514"/>
      <c r="C92" s="520"/>
      <c r="D92" s="525"/>
      <c r="E92" s="14" t="s">
        <v>378</v>
      </c>
      <c r="F92" s="14"/>
      <c r="G92" s="14"/>
      <c r="H92" s="14">
        <v>64521</v>
      </c>
      <c r="I92" s="14"/>
      <c r="J92" s="14"/>
      <c r="K92" s="18">
        <f>SUM(F92:J92)</f>
        <v>64521</v>
      </c>
      <c r="L92" s="543"/>
    </row>
    <row r="93" spans="1:12" s="20" customFormat="1" ht="12.75">
      <c r="A93" s="30"/>
      <c r="B93" s="515"/>
      <c r="C93" s="521"/>
      <c r="D93" s="526"/>
      <c r="E93" s="14" t="s">
        <v>379</v>
      </c>
      <c r="F93" s="14"/>
      <c r="G93" s="14"/>
      <c r="H93" s="14">
        <v>0</v>
      </c>
      <c r="I93" s="14"/>
      <c r="J93" s="14"/>
      <c r="K93" s="18">
        <f>SUM(F93:J93)</f>
        <v>0</v>
      </c>
      <c r="L93" s="544"/>
    </row>
    <row r="94" spans="1:12" s="20" customFormat="1" ht="12.75">
      <c r="A94" s="30"/>
      <c r="B94" s="22"/>
      <c r="C94" s="31"/>
      <c r="D94" s="43"/>
      <c r="E94" s="22"/>
      <c r="F94" s="14"/>
      <c r="G94" s="14"/>
      <c r="H94" s="14"/>
      <c r="I94" s="14"/>
      <c r="J94" s="14"/>
      <c r="K94" s="18"/>
      <c r="L94" s="92"/>
    </row>
    <row r="95" spans="1:12" s="20" customFormat="1" ht="12.75">
      <c r="A95" s="52"/>
      <c r="B95" s="513" t="s">
        <v>241</v>
      </c>
      <c r="C95" s="539" t="s">
        <v>240</v>
      </c>
      <c r="D95" s="536" t="s">
        <v>242</v>
      </c>
      <c r="E95" s="14" t="s">
        <v>376</v>
      </c>
      <c r="F95" s="14">
        <v>59218</v>
      </c>
      <c r="G95" s="14">
        <v>12620</v>
      </c>
      <c r="H95" s="14"/>
      <c r="I95" s="14"/>
      <c r="J95" s="14"/>
      <c r="K95" s="18">
        <f>SUM(F95:J95)</f>
        <v>71838</v>
      </c>
      <c r="L95" s="533" t="s">
        <v>404</v>
      </c>
    </row>
    <row r="96" spans="1:12" s="20" customFormat="1" ht="12.75">
      <c r="A96" s="52"/>
      <c r="B96" s="514"/>
      <c r="C96" s="540"/>
      <c r="D96" s="537"/>
      <c r="E96" s="14" t="s">
        <v>378</v>
      </c>
      <c r="F96" s="14">
        <v>59218</v>
      </c>
      <c r="G96" s="14">
        <v>12620</v>
      </c>
      <c r="H96" s="14"/>
      <c r="I96" s="14"/>
      <c r="J96" s="14"/>
      <c r="K96" s="18">
        <f>SUM(F96:J96)</f>
        <v>71838</v>
      </c>
      <c r="L96" s="534"/>
    </row>
    <row r="97" spans="1:12" s="20" customFormat="1" ht="12.75">
      <c r="A97" s="52"/>
      <c r="B97" s="515"/>
      <c r="C97" s="541"/>
      <c r="D97" s="538"/>
      <c r="E97" s="14" t="s">
        <v>379</v>
      </c>
      <c r="F97" s="14">
        <v>0</v>
      </c>
      <c r="G97" s="14">
        <v>0</v>
      </c>
      <c r="H97" s="14"/>
      <c r="I97" s="14"/>
      <c r="J97" s="14"/>
      <c r="K97" s="18">
        <f>SUM(F97:J97)</f>
        <v>0</v>
      </c>
      <c r="L97" s="535"/>
    </row>
    <row r="98" spans="1:12" s="20" customFormat="1" ht="12.75">
      <c r="A98" s="52"/>
      <c r="B98" s="22"/>
      <c r="C98" s="49"/>
      <c r="D98" s="55"/>
      <c r="E98" s="51"/>
      <c r="F98" s="14"/>
      <c r="G98" s="14"/>
      <c r="H98" s="14"/>
      <c r="I98" s="14"/>
      <c r="J98" s="14"/>
      <c r="K98" s="18"/>
      <c r="L98" s="92"/>
    </row>
    <row r="99" spans="1:12" s="20" customFormat="1" ht="12.75">
      <c r="A99" s="52"/>
      <c r="B99" s="513" t="s">
        <v>256</v>
      </c>
      <c r="C99" s="539" t="s">
        <v>257</v>
      </c>
      <c r="D99" s="524" t="s">
        <v>258</v>
      </c>
      <c r="E99" s="14" t="s">
        <v>376</v>
      </c>
      <c r="F99" s="14">
        <v>26786</v>
      </c>
      <c r="G99" s="14">
        <v>8383</v>
      </c>
      <c r="H99" s="14"/>
      <c r="I99" s="14"/>
      <c r="J99" s="14"/>
      <c r="K99" s="18">
        <f>SUM(F99:J99)</f>
        <v>35169</v>
      </c>
      <c r="L99" s="533" t="s">
        <v>405</v>
      </c>
    </row>
    <row r="100" spans="1:12" s="20" customFormat="1" ht="12.75">
      <c r="A100" s="52"/>
      <c r="B100" s="514"/>
      <c r="C100" s="540"/>
      <c r="D100" s="525"/>
      <c r="E100" s="14" t="s">
        <v>378</v>
      </c>
      <c r="F100" s="14">
        <v>26786</v>
      </c>
      <c r="G100" s="14">
        <v>8383</v>
      </c>
      <c r="H100" s="14"/>
      <c r="I100" s="14"/>
      <c r="J100" s="14"/>
      <c r="K100" s="18">
        <f>SUM(F100:J100)</f>
        <v>35169</v>
      </c>
      <c r="L100" s="534"/>
    </row>
    <row r="101" spans="1:12" s="20" customFormat="1" ht="12.75">
      <c r="A101" s="52"/>
      <c r="B101" s="515"/>
      <c r="C101" s="541"/>
      <c r="D101" s="526"/>
      <c r="E101" s="14" t="s">
        <v>379</v>
      </c>
      <c r="F101" s="14">
        <v>0</v>
      </c>
      <c r="G101" s="14">
        <v>0</v>
      </c>
      <c r="H101" s="14"/>
      <c r="I101" s="14"/>
      <c r="J101" s="14"/>
      <c r="K101" s="18">
        <f>SUM(F101:J101)</f>
        <v>0</v>
      </c>
      <c r="L101" s="535"/>
    </row>
    <row r="102" spans="1:12" s="20" customFormat="1" ht="12.75">
      <c r="A102" s="52"/>
      <c r="B102" s="22"/>
      <c r="C102" s="49"/>
      <c r="D102" s="43"/>
      <c r="E102" s="22"/>
      <c r="F102" s="14"/>
      <c r="G102" s="14"/>
      <c r="H102" s="14"/>
      <c r="I102" s="14"/>
      <c r="J102" s="14"/>
      <c r="K102" s="18"/>
      <c r="L102" s="92"/>
    </row>
    <row r="103" spans="1:12" s="20" customFormat="1" ht="12.75">
      <c r="A103" s="52"/>
      <c r="B103" s="513" t="s">
        <v>259</v>
      </c>
      <c r="C103" s="539" t="s">
        <v>257</v>
      </c>
      <c r="D103" s="524" t="s">
        <v>260</v>
      </c>
      <c r="E103" s="14" t="s">
        <v>376</v>
      </c>
      <c r="F103" s="14">
        <v>207</v>
      </c>
      <c r="G103" s="14">
        <v>67</v>
      </c>
      <c r="H103" s="14"/>
      <c r="I103" s="14"/>
      <c r="J103" s="14"/>
      <c r="K103" s="18">
        <f>SUM(F103:J103)</f>
        <v>274</v>
      </c>
      <c r="L103" s="533" t="s">
        <v>406</v>
      </c>
    </row>
    <row r="104" spans="1:12" s="20" customFormat="1" ht="12.75">
      <c r="A104" s="52"/>
      <c r="B104" s="514"/>
      <c r="C104" s="540"/>
      <c r="D104" s="525"/>
      <c r="E104" s="14" t="s">
        <v>378</v>
      </c>
      <c r="F104" s="14">
        <v>207</v>
      </c>
      <c r="G104" s="14">
        <v>67</v>
      </c>
      <c r="H104" s="14"/>
      <c r="I104" s="14"/>
      <c r="J104" s="14"/>
      <c r="K104" s="18">
        <f>SUM(F104:J104)</f>
        <v>274</v>
      </c>
      <c r="L104" s="534"/>
    </row>
    <row r="105" spans="1:12" s="20" customFormat="1" ht="12.75">
      <c r="A105" s="52"/>
      <c r="B105" s="515"/>
      <c r="C105" s="541"/>
      <c r="D105" s="526"/>
      <c r="E105" s="14" t="s">
        <v>379</v>
      </c>
      <c r="F105" s="14">
        <v>0</v>
      </c>
      <c r="G105" s="14">
        <v>0</v>
      </c>
      <c r="H105" s="14"/>
      <c r="I105" s="14"/>
      <c r="J105" s="14"/>
      <c r="K105" s="18">
        <f>SUM(F105:J105)</f>
        <v>0</v>
      </c>
      <c r="L105" s="535"/>
    </row>
    <row r="106" spans="1:12" s="20" customFormat="1" ht="12.75">
      <c r="A106" s="52"/>
      <c r="B106" s="22"/>
      <c r="C106" s="49"/>
      <c r="D106" s="43"/>
      <c r="E106" s="22"/>
      <c r="F106" s="14"/>
      <c r="G106" s="14"/>
      <c r="H106" s="14"/>
      <c r="I106" s="14"/>
      <c r="J106" s="14"/>
      <c r="K106" s="18"/>
      <c r="L106" s="92"/>
    </row>
    <row r="107" spans="1:12" s="20" customFormat="1" ht="12.75">
      <c r="A107" s="52"/>
      <c r="B107" s="513" t="s">
        <v>268</v>
      </c>
      <c r="C107" s="539" t="s">
        <v>269</v>
      </c>
      <c r="D107" s="524" t="s">
        <v>270</v>
      </c>
      <c r="E107" s="14" t="s">
        <v>376</v>
      </c>
      <c r="F107" s="14">
        <v>97900</v>
      </c>
      <c r="G107" s="14">
        <v>31328</v>
      </c>
      <c r="H107" s="14"/>
      <c r="I107" s="14"/>
      <c r="J107" s="14"/>
      <c r="K107" s="18">
        <f>SUM(F107:J107)</f>
        <v>129228</v>
      </c>
      <c r="L107" s="533" t="s">
        <v>407</v>
      </c>
    </row>
    <row r="108" spans="1:12" s="20" customFormat="1" ht="12.75">
      <c r="A108" s="52"/>
      <c r="B108" s="514"/>
      <c r="C108" s="540"/>
      <c r="D108" s="525"/>
      <c r="E108" s="14" t="s">
        <v>378</v>
      </c>
      <c r="F108" s="14">
        <v>97900</v>
      </c>
      <c r="G108" s="14">
        <v>31328</v>
      </c>
      <c r="H108" s="14"/>
      <c r="I108" s="14"/>
      <c r="J108" s="14"/>
      <c r="K108" s="18">
        <f>SUM(F108:J108)</f>
        <v>129228</v>
      </c>
      <c r="L108" s="534"/>
    </row>
    <row r="109" spans="1:12" s="20" customFormat="1" ht="12.75">
      <c r="A109" s="52"/>
      <c r="B109" s="515"/>
      <c r="C109" s="541"/>
      <c r="D109" s="526"/>
      <c r="E109" s="14" t="s">
        <v>379</v>
      </c>
      <c r="F109" s="14">
        <v>0</v>
      </c>
      <c r="G109" s="14">
        <v>0</v>
      </c>
      <c r="H109" s="14"/>
      <c r="I109" s="14"/>
      <c r="J109" s="14"/>
      <c r="K109" s="18">
        <f>SUM(F109:J109)</f>
        <v>0</v>
      </c>
      <c r="L109" s="535"/>
    </row>
    <row r="110" spans="1:12" s="20" customFormat="1" ht="12.75">
      <c r="A110" s="52"/>
      <c r="B110" s="22"/>
      <c r="C110" s="49"/>
      <c r="D110" s="43"/>
      <c r="E110" s="22"/>
      <c r="F110" s="14"/>
      <c r="G110" s="14"/>
      <c r="H110" s="14"/>
      <c r="I110" s="14"/>
      <c r="J110" s="14"/>
      <c r="K110" s="18"/>
      <c r="L110" s="92"/>
    </row>
    <row r="111" spans="1:12" s="20" customFormat="1" ht="12.75">
      <c r="A111" s="52"/>
      <c r="B111" s="513" t="s">
        <v>277</v>
      </c>
      <c r="C111" s="539" t="s">
        <v>278</v>
      </c>
      <c r="D111" s="524" t="s">
        <v>279</v>
      </c>
      <c r="E111" s="14" t="s">
        <v>376</v>
      </c>
      <c r="F111" s="14"/>
      <c r="G111" s="14"/>
      <c r="H111" s="14">
        <v>44000</v>
      </c>
      <c r="I111" s="14"/>
      <c r="J111" s="14">
        <v>43500</v>
      </c>
      <c r="K111" s="18">
        <f>SUM(F111:J111)</f>
        <v>87500</v>
      </c>
      <c r="L111" s="533" t="s">
        <v>416</v>
      </c>
    </row>
    <row r="112" spans="1:12" s="20" customFormat="1" ht="12.75">
      <c r="A112" s="52"/>
      <c r="B112" s="514"/>
      <c r="C112" s="540"/>
      <c r="D112" s="525"/>
      <c r="E112" s="14" t="s">
        <v>378</v>
      </c>
      <c r="F112" s="14"/>
      <c r="G112" s="14"/>
      <c r="H112" s="14">
        <v>43165</v>
      </c>
      <c r="I112" s="14"/>
      <c r="J112" s="14">
        <v>40218</v>
      </c>
      <c r="K112" s="18">
        <f>SUM(F112:J112)</f>
        <v>83383</v>
      </c>
      <c r="L112" s="534"/>
    </row>
    <row r="113" spans="1:12" s="20" customFormat="1" ht="12.75">
      <c r="A113" s="52"/>
      <c r="B113" s="515"/>
      <c r="C113" s="541"/>
      <c r="D113" s="526"/>
      <c r="E113" s="14" t="s">
        <v>379</v>
      </c>
      <c r="F113" s="14"/>
      <c r="G113" s="14"/>
      <c r="H113" s="14">
        <v>835</v>
      </c>
      <c r="I113" s="14"/>
      <c r="J113" s="14">
        <v>3282</v>
      </c>
      <c r="K113" s="18">
        <f>SUM(F113:J113)</f>
        <v>4117</v>
      </c>
      <c r="L113" s="535"/>
    </row>
    <row r="114" spans="1:12" s="20" customFormat="1" ht="12.75">
      <c r="A114" s="52"/>
      <c r="B114" s="22"/>
      <c r="C114" s="49"/>
      <c r="D114" s="43"/>
      <c r="E114" s="22"/>
      <c r="F114" s="14"/>
      <c r="G114" s="14"/>
      <c r="H114" s="14"/>
      <c r="I114" s="14"/>
      <c r="J114" s="14"/>
      <c r="K114" s="18"/>
      <c r="L114" s="92"/>
    </row>
    <row r="115" spans="1:12" s="20" customFormat="1" ht="12.75">
      <c r="A115" s="52"/>
      <c r="B115" s="513" t="s">
        <v>291</v>
      </c>
      <c r="C115" s="539" t="s">
        <v>292</v>
      </c>
      <c r="D115" s="536" t="s">
        <v>293</v>
      </c>
      <c r="E115" s="14" t="s">
        <v>376</v>
      </c>
      <c r="F115" s="14">
        <v>376973</v>
      </c>
      <c r="G115" s="14">
        <v>120632</v>
      </c>
      <c r="H115" s="14"/>
      <c r="I115" s="14"/>
      <c r="J115" s="14"/>
      <c r="K115" s="18">
        <f>SUM(F115:J115)</f>
        <v>497605</v>
      </c>
      <c r="L115" s="533" t="s">
        <v>408</v>
      </c>
    </row>
    <row r="116" spans="1:12" s="20" customFormat="1" ht="12.75">
      <c r="A116" s="52"/>
      <c r="B116" s="514"/>
      <c r="C116" s="540"/>
      <c r="D116" s="537"/>
      <c r="E116" s="14" t="s">
        <v>378</v>
      </c>
      <c r="F116" s="14">
        <v>376973</v>
      </c>
      <c r="G116" s="14">
        <v>120632</v>
      </c>
      <c r="H116" s="14"/>
      <c r="I116" s="14"/>
      <c r="J116" s="14"/>
      <c r="K116" s="18">
        <f>SUM(F116:J116)</f>
        <v>497605</v>
      </c>
      <c r="L116" s="534"/>
    </row>
    <row r="117" spans="1:12" s="20" customFormat="1" ht="12.75">
      <c r="A117" s="52"/>
      <c r="B117" s="515"/>
      <c r="C117" s="541"/>
      <c r="D117" s="538"/>
      <c r="E117" s="14" t="s">
        <v>379</v>
      </c>
      <c r="F117" s="14">
        <v>0</v>
      </c>
      <c r="G117" s="14">
        <v>0</v>
      </c>
      <c r="H117" s="14"/>
      <c r="I117" s="14"/>
      <c r="J117" s="14"/>
      <c r="K117" s="18">
        <f>SUM(F117:J117)</f>
        <v>0</v>
      </c>
      <c r="L117" s="535"/>
    </row>
    <row r="118" spans="1:12" s="20" customFormat="1" ht="12.75">
      <c r="A118" s="52"/>
      <c r="B118" s="22"/>
      <c r="C118" s="49"/>
      <c r="D118" s="55"/>
      <c r="E118" s="51"/>
      <c r="F118" s="14"/>
      <c r="G118" s="14"/>
      <c r="H118" s="14"/>
      <c r="I118" s="14"/>
      <c r="J118" s="14"/>
      <c r="K118" s="18"/>
      <c r="L118" s="92"/>
    </row>
    <row r="119" spans="1:12" s="20" customFormat="1" ht="12.75">
      <c r="A119" s="52"/>
      <c r="B119" s="513" t="s">
        <v>308</v>
      </c>
      <c r="C119" s="539" t="s">
        <v>309</v>
      </c>
      <c r="D119" s="524" t="s">
        <v>310</v>
      </c>
      <c r="E119" s="14" t="s">
        <v>376</v>
      </c>
      <c r="F119" s="14">
        <v>65809</v>
      </c>
      <c r="G119" s="14">
        <v>30970</v>
      </c>
      <c r="H119" s="14"/>
      <c r="I119" s="14"/>
      <c r="J119" s="14"/>
      <c r="K119" s="18">
        <f>SUM(F119:J119)</f>
        <v>96779</v>
      </c>
      <c r="L119" s="542" t="s">
        <v>409</v>
      </c>
    </row>
    <row r="120" spans="1:12" s="20" customFormat="1" ht="12.75">
      <c r="A120" s="52"/>
      <c r="B120" s="514"/>
      <c r="C120" s="540"/>
      <c r="D120" s="525"/>
      <c r="E120" s="14" t="s">
        <v>378</v>
      </c>
      <c r="F120" s="14">
        <v>65809</v>
      </c>
      <c r="G120" s="14">
        <v>30970</v>
      </c>
      <c r="H120" s="14"/>
      <c r="I120" s="14"/>
      <c r="J120" s="14"/>
      <c r="K120" s="18">
        <f>SUM(F120:J120)</f>
        <v>96779</v>
      </c>
      <c r="L120" s="543"/>
    </row>
    <row r="121" spans="1:12" s="20" customFormat="1" ht="12.75">
      <c r="A121" s="52"/>
      <c r="B121" s="515"/>
      <c r="C121" s="541"/>
      <c r="D121" s="526"/>
      <c r="E121" s="14" t="s">
        <v>379</v>
      </c>
      <c r="F121" s="14">
        <v>0</v>
      </c>
      <c r="G121" s="14">
        <v>0</v>
      </c>
      <c r="H121" s="14"/>
      <c r="I121" s="14"/>
      <c r="J121" s="14"/>
      <c r="K121" s="18">
        <f>SUM(F121:J121)</f>
        <v>0</v>
      </c>
      <c r="L121" s="544"/>
    </row>
    <row r="122" spans="1:12" s="20" customFormat="1" ht="12.75">
      <c r="A122" s="52"/>
      <c r="B122" s="22"/>
      <c r="C122" s="49"/>
      <c r="D122" s="43"/>
      <c r="E122" s="22"/>
      <c r="F122" s="14"/>
      <c r="G122" s="14"/>
      <c r="H122" s="14"/>
      <c r="I122" s="14"/>
      <c r="J122" s="14"/>
      <c r="K122" s="18"/>
      <c r="L122" s="92"/>
    </row>
    <row r="123" spans="1:12" s="20" customFormat="1" ht="12.75">
      <c r="A123" s="52"/>
      <c r="B123" s="513" t="s">
        <v>316</v>
      </c>
      <c r="C123" s="539" t="s">
        <v>312</v>
      </c>
      <c r="D123" s="524" t="s">
        <v>317</v>
      </c>
      <c r="E123" s="14" t="s">
        <v>376</v>
      </c>
      <c r="F123" s="14">
        <v>34844</v>
      </c>
      <c r="G123" s="14">
        <v>11006</v>
      </c>
      <c r="H123" s="14"/>
      <c r="I123" s="14"/>
      <c r="J123" s="14"/>
      <c r="K123" s="18">
        <f>SUM(F123:J123)</f>
        <v>45850</v>
      </c>
      <c r="L123" s="533" t="s">
        <v>410</v>
      </c>
    </row>
    <row r="124" spans="1:12" s="20" customFormat="1" ht="12.75">
      <c r="A124" s="52"/>
      <c r="B124" s="514"/>
      <c r="C124" s="540"/>
      <c r="D124" s="525"/>
      <c r="E124" s="14" t="s">
        <v>378</v>
      </c>
      <c r="F124" s="14">
        <v>34844</v>
      </c>
      <c r="G124" s="14">
        <v>11006</v>
      </c>
      <c r="H124" s="14"/>
      <c r="I124" s="14"/>
      <c r="J124" s="14"/>
      <c r="K124" s="18">
        <f>SUM(F124:J124)</f>
        <v>45850</v>
      </c>
      <c r="L124" s="534"/>
    </row>
    <row r="125" spans="1:12" s="20" customFormat="1" ht="12.75">
      <c r="A125" s="52"/>
      <c r="B125" s="515"/>
      <c r="C125" s="541"/>
      <c r="D125" s="526"/>
      <c r="E125" s="14" t="s">
        <v>379</v>
      </c>
      <c r="F125" s="14">
        <v>0</v>
      </c>
      <c r="G125" s="14">
        <v>0</v>
      </c>
      <c r="H125" s="14"/>
      <c r="I125" s="14"/>
      <c r="J125" s="14"/>
      <c r="K125" s="18">
        <f>SUM(F125:J125)</f>
        <v>0</v>
      </c>
      <c r="L125" s="535"/>
    </row>
    <row r="126" spans="1:12" s="20" customFormat="1" ht="12.75">
      <c r="A126" s="52"/>
      <c r="B126" s="22"/>
      <c r="C126" s="49"/>
      <c r="D126" s="43"/>
      <c r="E126" s="22"/>
      <c r="F126" s="14"/>
      <c r="G126" s="14"/>
      <c r="H126" s="14"/>
      <c r="I126" s="14"/>
      <c r="J126" s="14"/>
      <c r="K126" s="18"/>
      <c r="L126" s="92"/>
    </row>
    <row r="127" spans="1:12" s="20" customFormat="1" ht="12.75">
      <c r="A127" s="52"/>
      <c r="B127" s="513" t="s">
        <v>342</v>
      </c>
      <c r="C127" s="539" t="s">
        <v>332</v>
      </c>
      <c r="D127" s="536" t="s">
        <v>343</v>
      </c>
      <c r="E127" s="14" t="s">
        <v>376</v>
      </c>
      <c r="F127" s="14">
        <v>3643</v>
      </c>
      <c r="G127" s="14"/>
      <c r="H127" s="14"/>
      <c r="I127" s="14"/>
      <c r="J127" s="53"/>
      <c r="K127" s="18">
        <f>SUM(F127:J127)</f>
        <v>3643</v>
      </c>
      <c r="L127" s="533" t="s">
        <v>411</v>
      </c>
    </row>
    <row r="128" spans="1:12" s="20" customFormat="1" ht="12.75">
      <c r="A128" s="52"/>
      <c r="B128" s="514"/>
      <c r="C128" s="540"/>
      <c r="D128" s="537"/>
      <c r="E128" s="14" t="s">
        <v>378</v>
      </c>
      <c r="F128" s="14">
        <v>3643</v>
      </c>
      <c r="G128" s="14"/>
      <c r="H128" s="14"/>
      <c r="I128" s="14"/>
      <c r="J128" s="53"/>
      <c r="K128" s="18">
        <f>SUM(F128:J128)</f>
        <v>3643</v>
      </c>
      <c r="L128" s="534"/>
    </row>
    <row r="129" spans="1:12" s="20" customFormat="1" ht="12.75">
      <c r="A129" s="52"/>
      <c r="B129" s="515"/>
      <c r="C129" s="541"/>
      <c r="D129" s="538"/>
      <c r="E129" s="14" t="s">
        <v>379</v>
      </c>
      <c r="F129" s="14">
        <v>0</v>
      </c>
      <c r="G129" s="14"/>
      <c r="H129" s="14"/>
      <c r="I129" s="14"/>
      <c r="J129" s="53"/>
      <c r="K129" s="18">
        <f>SUM(F129:J129)</f>
        <v>0</v>
      </c>
      <c r="L129" s="535"/>
    </row>
    <row r="130" spans="1:12" s="20" customFormat="1" ht="12.75">
      <c r="A130" s="52"/>
      <c r="B130" s="22"/>
      <c r="C130" s="49"/>
      <c r="D130" s="55"/>
      <c r="E130" s="51"/>
      <c r="F130" s="14"/>
      <c r="G130" s="14"/>
      <c r="H130" s="14"/>
      <c r="I130" s="14"/>
      <c r="J130" s="53"/>
      <c r="K130" s="18"/>
      <c r="L130" s="92"/>
    </row>
    <row r="131" spans="1:12" s="20" customFormat="1" ht="12.75">
      <c r="A131" s="52"/>
      <c r="B131" s="513" t="s">
        <v>344</v>
      </c>
      <c r="C131" s="545" t="s">
        <v>345</v>
      </c>
      <c r="D131" s="548" t="s">
        <v>346</v>
      </c>
      <c r="E131" s="14" t="s">
        <v>376</v>
      </c>
      <c r="F131" s="14">
        <v>9100</v>
      </c>
      <c r="G131" s="14">
        <v>2912</v>
      </c>
      <c r="H131" s="14"/>
      <c r="I131" s="14"/>
      <c r="J131" s="53"/>
      <c r="K131" s="18">
        <f>SUM(F131:J131)</f>
        <v>12012</v>
      </c>
      <c r="L131" s="533" t="s">
        <v>412</v>
      </c>
    </row>
    <row r="132" spans="1:12" s="20" customFormat="1" ht="12.75">
      <c r="A132" s="52"/>
      <c r="B132" s="514"/>
      <c r="C132" s="546"/>
      <c r="D132" s="549"/>
      <c r="E132" s="14" t="s">
        <v>378</v>
      </c>
      <c r="F132" s="14">
        <v>0</v>
      </c>
      <c r="G132" s="14">
        <v>0</v>
      </c>
      <c r="H132" s="14"/>
      <c r="I132" s="14"/>
      <c r="J132" s="53"/>
      <c r="K132" s="18">
        <f>SUM(F132:J132)</f>
        <v>0</v>
      </c>
      <c r="L132" s="534"/>
    </row>
    <row r="133" spans="1:12" s="20" customFormat="1" ht="12.75">
      <c r="A133" s="52"/>
      <c r="B133" s="515"/>
      <c r="C133" s="547"/>
      <c r="D133" s="550"/>
      <c r="E133" s="14" t="s">
        <v>379</v>
      </c>
      <c r="F133" s="14">
        <v>9100</v>
      </c>
      <c r="G133" s="14">
        <v>2912</v>
      </c>
      <c r="H133" s="14"/>
      <c r="I133" s="14"/>
      <c r="J133" s="53"/>
      <c r="K133" s="18">
        <f>SUM(F133:J133)</f>
        <v>12012</v>
      </c>
      <c r="L133" s="535"/>
    </row>
  </sheetData>
  <sheetProtection password="EE36" sheet="1" formatCells="0" formatColumns="0" formatRows="0" insertColumns="0" insertRows="0" insertHyperlinks="0" deleteColumns="0" deleteRows="0" sort="0" autoFilter="0" pivotTables="0"/>
  <mergeCells count="144">
    <mergeCell ref="L103:L105"/>
    <mergeCell ref="L107:L109"/>
    <mergeCell ref="L111:L113"/>
    <mergeCell ref="L127:L129"/>
    <mergeCell ref="L115:L117"/>
    <mergeCell ref="L119:L121"/>
    <mergeCell ref="L99:L101"/>
    <mergeCell ref="L35:L37"/>
    <mergeCell ref="L39:L41"/>
    <mergeCell ref="L43:L45"/>
    <mergeCell ref="L79:L81"/>
    <mergeCell ref="L83:L85"/>
    <mergeCell ref="L71:L73"/>
    <mergeCell ref="L87:L89"/>
    <mergeCell ref="L95:L97"/>
    <mergeCell ref="L91:L93"/>
    <mergeCell ref="L63:L65"/>
    <mergeCell ref="L67:L69"/>
    <mergeCell ref="L27:L29"/>
    <mergeCell ref="L31:L33"/>
    <mergeCell ref="L47:L49"/>
    <mergeCell ref="L55:L57"/>
    <mergeCell ref="L59:L61"/>
    <mergeCell ref="B131:B133"/>
    <mergeCell ref="C131:C133"/>
    <mergeCell ref="D131:D133"/>
    <mergeCell ref="L123:L125"/>
    <mergeCell ref="L131:L133"/>
    <mergeCell ref="D111:D113"/>
    <mergeCell ref="B127:B129"/>
    <mergeCell ref="C127:C129"/>
    <mergeCell ref="D127:D129"/>
    <mergeCell ref="D119:D121"/>
    <mergeCell ref="L7:L9"/>
    <mergeCell ref="L11:L13"/>
    <mergeCell ref="L15:L17"/>
    <mergeCell ref="L19:L21"/>
    <mergeCell ref="B103:B105"/>
    <mergeCell ref="C103:C105"/>
    <mergeCell ref="L75:L77"/>
    <mergeCell ref="L23:L25"/>
    <mergeCell ref="L51:L53"/>
    <mergeCell ref="B87:B89"/>
    <mergeCell ref="B123:B125"/>
    <mergeCell ref="C123:C125"/>
    <mergeCell ref="D123:D125"/>
    <mergeCell ref="B111:B113"/>
    <mergeCell ref="C111:C113"/>
    <mergeCell ref="B115:B117"/>
    <mergeCell ref="C115:C117"/>
    <mergeCell ref="D115:D117"/>
    <mergeCell ref="B119:B121"/>
    <mergeCell ref="C119:C121"/>
    <mergeCell ref="C87:C89"/>
    <mergeCell ref="D87:D89"/>
    <mergeCell ref="B91:B93"/>
    <mergeCell ref="C91:C93"/>
    <mergeCell ref="D91:D93"/>
    <mergeCell ref="B107:B109"/>
    <mergeCell ref="C107:C109"/>
    <mergeCell ref="D107:D109"/>
    <mergeCell ref="B95:B97"/>
    <mergeCell ref="C95:C97"/>
    <mergeCell ref="D95:D97"/>
    <mergeCell ref="B99:B101"/>
    <mergeCell ref="D99:D101"/>
    <mergeCell ref="C99:C101"/>
    <mergeCell ref="D103:D105"/>
    <mergeCell ref="B79:B81"/>
    <mergeCell ref="C79:C81"/>
    <mergeCell ref="D79:D81"/>
    <mergeCell ref="B83:B85"/>
    <mergeCell ref="C83:C85"/>
    <mergeCell ref="D83:D85"/>
    <mergeCell ref="B71:B73"/>
    <mergeCell ref="C71:C73"/>
    <mergeCell ref="D71:D73"/>
    <mergeCell ref="D75:D77"/>
    <mergeCell ref="C75:C77"/>
    <mergeCell ref="B75:B77"/>
    <mergeCell ref="B63:B65"/>
    <mergeCell ref="D63:D65"/>
    <mergeCell ref="C63:C65"/>
    <mergeCell ref="B67:B69"/>
    <mergeCell ref="C67:C69"/>
    <mergeCell ref="D67:D69"/>
    <mergeCell ref="B55:B57"/>
    <mergeCell ref="C55:C57"/>
    <mergeCell ref="D55:D57"/>
    <mergeCell ref="B59:B61"/>
    <mergeCell ref="C59:C61"/>
    <mergeCell ref="D59:D61"/>
    <mergeCell ref="B47:B49"/>
    <mergeCell ref="C47:C49"/>
    <mergeCell ref="D47:D49"/>
    <mergeCell ref="B51:B53"/>
    <mergeCell ref="D51:D53"/>
    <mergeCell ref="C51:C53"/>
    <mergeCell ref="B39:B41"/>
    <mergeCell ref="C39:C41"/>
    <mergeCell ref="D39:D41"/>
    <mergeCell ref="B43:B45"/>
    <mergeCell ref="C43:C45"/>
    <mergeCell ref="D43:D45"/>
    <mergeCell ref="B31:B33"/>
    <mergeCell ref="C31:C33"/>
    <mergeCell ref="D31:D33"/>
    <mergeCell ref="B35:B37"/>
    <mergeCell ref="C35:C37"/>
    <mergeCell ref="D35:D37"/>
    <mergeCell ref="B19:B21"/>
    <mergeCell ref="C19:C21"/>
    <mergeCell ref="D19:D21"/>
    <mergeCell ref="B23:B25"/>
    <mergeCell ref="D23:D25"/>
    <mergeCell ref="C23:C25"/>
    <mergeCell ref="B15:B17"/>
    <mergeCell ref="C15:C17"/>
    <mergeCell ref="D15:D17"/>
    <mergeCell ref="L1:L2"/>
    <mergeCell ref="E1:E2"/>
    <mergeCell ref="B3:B5"/>
    <mergeCell ref="C3:C5"/>
    <mergeCell ref="D3:D5"/>
    <mergeCell ref="L3:L5"/>
    <mergeCell ref="B11:B13"/>
    <mergeCell ref="C11:C13"/>
    <mergeCell ref="K1:K2"/>
    <mergeCell ref="J1:J2"/>
    <mergeCell ref="F1:F2"/>
    <mergeCell ref="G1:G2"/>
    <mergeCell ref="H1:H2"/>
    <mergeCell ref="I1:I2"/>
    <mergeCell ref="D11:D13"/>
    <mergeCell ref="A1:A2"/>
    <mergeCell ref="B1:B2"/>
    <mergeCell ref="C1:C2"/>
    <mergeCell ref="D1:D2"/>
    <mergeCell ref="B27:B29"/>
    <mergeCell ref="D27:D29"/>
    <mergeCell ref="C27:C29"/>
    <mergeCell ref="B7:B9"/>
    <mergeCell ref="C7:C9"/>
    <mergeCell ref="D7:D9"/>
  </mergeCells>
  <printOptions horizontalCentered="1"/>
  <pageMargins left="0.15748031496062992" right="0.15748031496062992" top="0.59" bottom="0" header="0.15748031496062992" footer="0"/>
  <pageSetup horizontalDpi="600" verticalDpi="600" orientation="landscape" paperSize="9" scale="60" r:id="rId1"/>
  <headerFooter alignWithMargins="0">
    <oddHeader>&amp;L&amp;"Times New Roman,Normál"&amp;14Mezőgazdasági Szakigazgatási Hivatal&amp;C&amp;"Times New Roman,Félkövér"&amp;16 2008. évi fejezeti pótelőirányzatok
felhasználásának összefoglalása
&amp;R&amp;"Times New Roman,Normál"&amp;22 3. számú melléklet</oddHeader>
    <oddFooter>&amp;L&amp;14&amp;P/&amp;N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5"/>
  <cols>
    <col min="1" max="1" width="11.28125" style="156" customWidth="1"/>
    <col min="2" max="2" width="12.00390625" style="206" customWidth="1"/>
    <col min="3" max="3" width="10.421875" style="206" customWidth="1"/>
    <col min="4" max="16" width="13.421875" style="156" customWidth="1"/>
    <col min="17" max="17" width="13.421875" style="207" customWidth="1"/>
    <col min="18" max="16384" width="8.00390625" style="156" customWidth="1"/>
  </cols>
  <sheetData>
    <row r="1" spans="2:9" s="152" customFormat="1" ht="24.75" customHeight="1">
      <c r="B1" s="153"/>
      <c r="C1" s="154"/>
      <c r="D1" s="153"/>
      <c r="E1" s="153"/>
      <c r="F1" s="153"/>
      <c r="G1" s="153"/>
      <c r="H1" s="155"/>
      <c r="I1" s="155"/>
    </row>
    <row r="2" spans="1:17" ht="32.25" customHeight="1">
      <c r="A2" s="566" t="s">
        <v>506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</row>
    <row r="3" spans="2:17" ht="33" customHeight="1"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2:17" ht="23.25" customHeight="1" thickBot="1">
      <c r="B4" s="157"/>
      <c r="C4" s="158"/>
      <c r="D4" s="159"/>
      <c r="E4" s="159"/>
      <c r="F4" s="159"/>
      <c r="G4" s="160"/>
      <c r="H4" s="160"/>
      <c r="I4" s="161"/>
      <c r="J4" s="161"/>
      <c r="K4" s="161"/>
      <c r="L4" s="161"/>
      <c r="M4" s="161"/>
      <c r="N4" s="161"/>
      <c r="O4" s="161"/>
      <c r="P4" s="161"/>
      <c r="Q4" s="162" t="s">
        <v>507</v>
      </c>
    </row>
    <row r="5" spans="1:17" s="163" customFormat="1" ht="15">
      <c r="A5" s="567" t="s">
        <v>508</v>
      </c>
      <c r="B5" s="569" t="s">
        <v>509</v>
      </c>
      <c r="C5" s="556" t="s">
        <v>510</v>
      </c>
      <c r="D5" s="571" t="s">
        <v>511</v>
      </c>
      <c r="E5" s="571" t="s">
        <v>512</v>
      </c>
      <c r="F5" s="556" t="s">
        <v>513</v>
      </c>
      <c r="G5" s="556" t="s">
        <v>514</v>
      </c>
      <c r="H5" s="556"/>
      <c r="I5" s="556"/>
      <c r="J5" s="556" t="s">
        <v>515</v>
      </c>
      <c r="K5" s="556" t="s">
        <v>516</v>
      </c>
      <c r="L5" s="556" t="s">
        <v>85</v>
      </c>
      <c r="M5" s="556" t="s">
        <v>517</v>
      </c>
      <c r="N5" s="558" t="s">
        <v>518</v>
      </c>
      <c r="O5" s="553" t="s">
        <v>417</v>
      </c>
      <c r="P5" s="553" t="s">
        <v>519</v>
      </c>
      <c r="Q5" s="564" t="s">
        <v>520</v>
      </c>
    </row>
    <row r="6" spans="1:17" s="163" customFormat="1" ht="45.75" thickBot="1">
      <c r="A6" s="568"/>
      <c r="B6" s="570"/>
      <c r="C6" s="557"/>
      <c r="D6" s="572"/>
      <c r="E6" s="572"/>
      <c r="F6" s="557"/>
      <c r="G6" s="164" t="s">
        <v>521</v>
      </c>
      <c r="H6" s="164" t="s">
        <v>522</v>
      </c>
      <c r="I6" s="165" t="s">
        <v>523</v>
      </c>
      <c r="J6" s="557"/>
      <c r="K6" s="557"/>
      <c r="L6" s="557"/>
      <c r="M6" s="557"/>
      <c r="N6" s="559"/>
      <c r="O6" s="554"/>
      <c r="P6" s="554"/>
      <c r="Q6" s="565"/>
    </row>
    <row r="7" spans="1:18" s="152" customFormat="1" ht="12.75" customHeight="1">
      <c r="A7" s="568"/>
      <c r="B7" s="166">
        <v>1</v>
      </c>
      <c r="C7" s="167">
        <v>2</v>
      </c>
      <c r="D7" s="167">
        <v>3</v>
      </c>
      <c r="E7" s="168">
        <v>4</v>
      </c>
      <c r="F7" s="169">
        <v>5</v>
      </c>
      <c r="G7" s="169">
        <v>6</v>
      </c>
      <c r="H7" s="169">
        <v>7</v>
      </c>
      <c r="I7" s="170" t="s">
        <v>524</v>
      </c>
      <c r="J7" s="169">
        <v>9</v>
      </c>
      <c r="K7" s="169">
        <v>10</v>
      </c>
      <c r="L7" s="169">
        <v>11</v>
      </c>
      <c r="M7" s="169">
        <v>12</v>
      </c>
      <c r="N7" s="171" t="s">
        <v>525</v>
      </c>
      <c r="O7" s="172">
        <v>14</v>
      </c>
      <c r="P7" s="171">
        <v>15</v>
      </c>
      <c r="Q7" s="173" t="s">
        <v>526</v>
      </c>
      <c r="R7" s="174"/>
    </row>
    <row r="8" spans="1:17" s="181" customFormat="1" ht="15.75">
      <c r="A8" s="568"/>
      <c r="B8" s="175" t="s">
        <v>6</v>
      </c>
      <c r="C8" s="176">
        <v>2</v>
      </c>
      <c r="D8" s="176" t="s">
        <v>527</v>
      </c>
      <c r="E8" s="177" t="s">
        <v>528</v>
      </c>
      <c r="F8" s="178">
        <v>2</v>
      </c>
      <c r="G8" s="178">
        <f>1716+287</f>
        <v>2003</v>
      </c>
      <c r="H8" s="178">
        <f>241+52</f>
        <v>293</v>
      </c>
      <c r="I8" s="178">
        <f aca="true" t="shared" si="0" ref="I8:I17">SUM(G8:H8)</f>
        <v>2296</v>
      </c>
      <c r="J8" s="178">
        <f>2174+191</f>
        <v>2365</v>
      </c>
      <c r="K8" s="178">
        <v>186</v>
      </c>
      <c r="L8" s="178">
        <f>254+88</f>
        <v>342</v>
      </c>
      <c r="M8" s="178"/>
      <c r="N8" s="179">
        <f aca="true" t="shared" si="1" ref="N8:N17">+I8+J8+K8+L8+M8</f>
        <v>5189</v>
      </c>
      <c r="O8" s="179">
        <f>1463+198</f>
        <v>1661</v>
      </c>
      <c r="P8" s="178"/>
      <c r="Q8" s="180">
        <f aca="true" t="shared" si="2" ref="Q8:Q17">SUM(N8:O8)+P8</f>
        <v>6850</v>
      </c>
    </row>
    <row r="9" spans="1:17" s="184" customFormat="1" ht="15.75">
      <c r="A9" s="568"/>
      <c r="B9" s="551" t="s">
        <v>8</v>
      </c>
      <c r="C9" s="176">
        <v>2</v>
      </c>
      <c r="D9" s="183" t="s">
        <v>527</v>
      </c>
      <c r="E9" s="177" t="s">
        <v>528</v>
      </c>
      <c r="F9" s="178">
        <v>2</v>
      </c>
      <c r="G9" s="178">
        <f>361+686</f>
        <v>1047</v>
      </c>
      <c r="H9" s="178">
        <f>12+24</f>
        <v>36</v>
      </c>
      <c r="I9" s="178">
        <f t="shared" si="0"/>
        <v>1083</v>
      </c>
      <c r="J9" s="178">
        <f>467+905</f>
        <v>1372</v>
      </c>
      <c r="K9" s="178">
        <v>133</v>
      </c>
      <c r="L9" s="178">
        <f>39+57</f>
        <v>96</v>
      </c>
      <c r="M9" s="178"/>
      <c r="N9" s="179">
        <f t="shared" si="1"/>
        <v>2684</v>
      </c>
      <c r="O9" s="179">
        <f>ROUND(N9*0.32,0)</f>
        <v>859</v>
      </c>
      <c r="P9" s="178"/>
      <c r="Q9" s="180">
        <f t="shared" si="2"/>
        <v>3543</v>
      </c>
    </row>
    <row r="10" spans="1:17" s="184" customFormat="1" ht="15.75">
      <c r="A10" s="568"/>
      <c r="B10" s="552"/>
      <c r="C10" s="185">
        <v>1</v>
      </c>
      <c r="D10" s="183" t="s">
        <v>529</v>
      </c>
      <c r="E10" s="177" t="s">
        <v>528</v>
      </c>
      <c r="F10" s="179"/>
      <c r="G10" s="179">
        <v>338</v>
      </c>
      <c r="H10" s="179">
        <v>5</v>
      </c>
      <c r="I10" s="178">
        <f t="shared" si="0"/>
        <v>343</v>
      </c>
      <c r="J10" s="179"/>
      <c r="K10" s="179"/>
      <c r="L10" s="179">
        <v>38</v>
      </c>
      <c r="M10" s="179"/>
      <c r="N10" s="179">
        <f t="shared" si="1"/>
        <v>381</v>
      </c>
      <c r="O10" s="179">
        <f>ROUND(N10*0.32,0)</f>
        <v>122</v>
      </c>
      <c r="P10" s="179"/>
      <c r="Q10" s="180">
        <f t="shared" si="2"/>
        <v>503</v>
      </c>
    </row>
    <row r="11" spans="1:17" s="184" customFormat="1" ht="15.75">
      <c r="A11" s="568"/>
      <c r="B11" s="182" t="s">
        <v>10</v>
      </c>
      <c r="C11" s="176">
        <v>2</v>
      </c>
      <c r="D11" s="183" t="s">
        <v>527</v>
      </c>
      <c r="E11" s="177" t="s">
        <v>528</v>
      </c>
      <c r="F11" s="178">
        <v>2</v>
      </c>
      <c r="G11" s="178">
        <f>567+734</f>
        <v>1301</v>
      </c>
      <c r="H11" s="178">
        <f>121+82</f>
        <v>203</v>
      </c>
      <c r="I11" s="178">
        <f t="shared" si="0"/>
        <v>1504</v>
      </c>
      <c r="J11" s="178">
        <f>1190+699</f>
        <v>1889</v>
      </c>
      <c r="K11" s="178"/>
      <c r="L11" s="178"/>
      <c r="M11" s="178"/>
      <c r="N11" s="179">
        <f t="shared" si="1"/>
        <v>3393</v>
      </c>
      <c r="O11" s="179">
        <f>601+485</f>
        <v>1086</v>
      </c>
      <c r="P11" s="178"/>
      <c r="Q11" s="180">
        <f t="shared" si="2"/>
        <v>4479</v>
      </c>
    </row>
    <row r="12" spans="1:17" s="184" customFormat="1" ht="15.75">
      <c r="A12" s="568"/>
      <c r="B12" s="186" t="s">
        <v>12</v>
      </c>
      <c r="C12" s="176">
        <v>1</v>
      </c>
      <c r="D12" s="183" t="s">
        <v>527</v>
      </c>
      <c r="E12" s="177" t="s">
        <v>528</v>
      </c>
      <c r="F12" s="178">
        <v>1</v>
      </c>
      <c r="G12" s="178"/>
      <c r="H12" s="178"/>
      <c r="I12" s="178">
        <f t="shared" si="0"/>
        <v>0</v>
      </c>
      <c r="J12" s="178">
        <v>974</v>
      </c>
      <c r="K12" s="178"/>
      <c r="L12" s="178">
        <v>93</v>
      </c>
      <c r="M12" s="178"/>
      <c r="N12" s="179">
        <f t="shared" si="1"/>
        <v>1067</v>
      </c>
      <c r="O12" s="179">
        <v>1620</v>
      </c>
      <c r="P12" s="178"/>
      <c r="Q12" s="180">
        <f t="shared" si="2"/>
        <v>2687</v>
      </c>
    </row>
    <row r="13" spans="1:17" s="184" customFormat="1" ht="15.75">
      <c r="A13" s="568"/>
      <c r="B13" s="186" t="s">
        <v>14</v>
      </c>
      <c r="C13" s="176">
        <v>1</v>
      </c>
      <c r="D13" s="176" t="s">
        <v>530</v>
      </c>
      <c r="E13" s="177" t="s">
        <v>528</v>
      </c>
      <c r="F13" s="178"/>
      <c r="G13" s="178"/>
      <c r="H13" s="178"/>
      <c r="I13" s="178">
        <f t="shared" si="0"/>
        <v>0</v>
      </c>
      <c r="J13" s="178"/>
      <c r="K13" s="178"/>
      <c r="L13" s="178"/>
      <c r="M13" s="178"/>
      <c r="N13" s="179">
        <f t="shared" si="1"/>
        <v>0</v>
      </c>
      <c r="O13" s="179">
        <f>ROUND(N13*0.32,0)</f>
        <v>0</v>
      </c>
      <c r="P13" s="178">
        <v>2261</v>
      </c>
      <c r="Q13" s="180">
        <f t="shared" si="2"/>
        <v>2261</v>
      </c>
    </row>
    <row r="14" spans="1:17" s="184" customFormat="1" ht="15.75">
      <c r="A14" s="568"/>
      <c r="B14" s="186" t="s">
        <v>17</v>
      </c>
      <c r="C14" s="176">
        <v>1</v>
      </c>
      <c r="D14" s="183" t="s">
        <v>527</v>
      </c>
      <c r="E14" s="177" t="s">
        <v>528</v>
      </c>
      <c r="F14" s="178">
        <v>1</v>
      </c>
      <c r="G14" s="178">
        <v>1209</v>
      </c>
      <c r="H14" s="178">
        <v>24</v>
      </c>
      <c r="I14" s="178">
        <f t="shared" si="0"/>
        <v>1233</v>
      </c>
      <c r="J14" s="178">
        <v>427</v>
      </c>
      <c r="K14" s="178">
        <v>116</v>
      </c>
      <c r="L14" s="178">
        <v>107</v>
      </c>
      <c r="M14" s="178"/>
      <c r="N14" s="179">
        <f t="shared" si="1"/>
        <v>1883</v>
      </c>
      <c r="O14" s="179">
        <f>ROUND(N14*0.32,0)</f>
        <v>603</v>
      </c>
      <c r="P14" s="178"/>
      <c r="Q14" s="180">
        <f t="shared" si="2"/>
        <v>2486</v>
      </c>
    </row>
    <row r="15" spans="1:17" s="184" customFormat="1" ht="15.75">
      <c r="A15" s="568"/>
      <c r="B15" s="186" t="s">
        <v>18</v>
      </c>
      <c r="C15" s="176">
        <v>1</v>
      </c>
      <c r="D15" s="183" t="s">
        <v>527</v>
      </c>
      <c r="E15" s="177" t="s">
        <v>528</v>
      </c>
      <c r="F15" s="178">
        <v>1</v>
      </c>
      <c r="G15" s="178">
        <v>258</v>
      </c>
      <c r="H15" s="178">
        <v>94</v>
      </c>
      <c r="I15" s="178">
        <f t="shared" si="0"/>
        <v>352</v>
      </c>
      <c r="J15" s="178">
        <v>880</v>
      </c>
      <c r="K15" s="178"/>
      <c r="L15" s="178"/>
      <c r="M15" s="178"/>
      <c r="N15" s="179">
        <f t="shared" si="1"/>
        <v>1232</v>
      </c>
      <c r="O15" s="179">
        <v>395</v>
      </c>
      <c r="P15" s="178"/>
      <c r="Q15" s="180">
        <f t="shared" si="2"/>
        <v>1627</v>
      </c>
    </row>
    <row r="16" spans="1:17" s="184" customFormat="1" ht="15.75">
      <c r="A16" s="568"/>
      <c r="B16" s="551" t="s">
        <v>21</v>
      </c>
      <c r="C16" s="176">
        <v>2</v>
      </c>
      <c r="D16" s="176" t="s">
        <v>531</v>
      </c>
      <c r="E16" s="177" t="s">
        <v>528</v>
      </c>
      <c r="F16" s="178"/>
      <c r="G16" s="178">
        <f>628+1392</f>
        <v>2020</v>
      </c>
      <c r="H16" s="178"/>
      <c r="I16" s="178">
        <f t="shared" si="0"/>
        <v>2020</v>
      </c>
      <c r="J16" s="178"/>
      <c r="K16" s="178"/>
      <c r="L16" s="178"/>
      <c r="M16" s="178"/>
      <c r="N16" s="179">
        <f t="shared" si="1"/>
        <v>2020</v>
      </c>
      <c r="O16" s="179">
        <f>201+445</f>
        <v>646</v>
      </c>
      <c r="P16" s="178"/>
      <c r="Q16" s="180">
        <f t="shared" si="2"/>
        <v>2666</v>
      </c>
    </row>
    <row r="17" spans="1:17" s="184" customFormat="1" ht="16.5" thickBot="1">
      <c r="A17" s="568"/>
      <c r="B17" s="563"/>
      <c r="C17" s="187">
        <v>1</v>
      </c>
      <c r="D17" s="188" t="s">
        <v>529</v>
      </c>
      <c r="E17" s="189" t="s">
        <v>532</v>
      </c>
      <c r="F17" s="190">
        <v>1</v>
      </c>
      <c r="G17" s="190">
        <v>2302</v>
      </c>
      <c r="H17" s="190"/>
      <c r="I17" s="191">
        <f t="shared" si="0"/>
        <v>2302</v>
      </c>
      <c r="J17" s="190">
        <v>4617</v>
      </c>
      <c r="K17" s="190"/>
      <c r="L17" s="190"/>
      <c r="M17" s="190"/>
      <c r="N17" s="190">
        <f t="shared" si="1"/>
        <v>6919</v>
      </c>
      <c r="O17" s="190">
        <v>2214</v>
      </c>
      <c r="P17" s="190"/>
      <c r="Q17" s="192">
        <f t="shared" si="2"/>
        <v>9133</v>
      </c>
    </row>
    <row r="18" spans="1:17" s="198" customFormat="1" ht="27.75" customHeight="1" thickBot="1">
      <c r="A18" s="568"/>
      <c r="B18" s="193" t="s">
        <v>363</v>
      </c>
      <c r="C18" s="194">
        <f>SUM(C8:C17)</f>
        <v>14</v>
      </c>
      <c r="D18" s="195"/>
      <c r="E18" s="195"/>
      <c r="F18" s="195">
        <f aca="true" t="shared" si="3" ref="F18:Q18">SUM(F8:F17)</f>
        <v>10</v>
      </c>
      <c r="G18" s="195">
        <f t="shared" si="3"/>
        <v>10478</v>
      </c>
      <c r="H18" s="195">
        <f t="shared" si="3"/>
        <v>655</v>
      </c>
      <c r="I18" s="195">
        <f t="shared" si="3"/>
        <v>11133</v>
      </c>
      <c r="J18" s="195">
        <f t="shared" si="3"/>
        <v>12524</v>
      </c>
      <c r="K18" s="195">
        <f t="shared" si="3"/>
        <v>435</v>
      </c>
      <c r="L18" s="195">
        <f t="shared" si="3"/>
        <v>676</v>
      </c>
      <c r="M18" s="195">
        <f t="shared" si="3"/>
        <v>0</v>
      </c>
      <c r="N18" s="196">
        <f t="shared" si="3"/>
        <v>24768</v>
      </c>
      <c r="O18" s="196">
        <f t="shared" si="3"/>
        <v>9206</v>
      </c>
      <c r="P18" s="196">
        <f t="shared" si="3"/>
        <v>2261</v>
      </c>
      <c r="Q18" s="197">
        <f t="shared" si="3"/>
        <v>36235</v>
      </c>
    </row>
    <row r="19" spans="1:17" s="203" customFormat="1" ht="79.5" thickBot="1">
      <c r="A19" s="199" t="s">
        <v>533</v>
      </c>
      <c r="B19" s="555" t="s">
        <v>534</v>
      </c>
      <c r="C19" s="555"/>
      <c r="D19" s="555"/>
      <c r="E19" s="555"/>
      <c r="F19" s="555"/>
      <c r="G19" s="200">
        <v>11904</v>
      </c>
      <c r="H19" s="200">
        <v>598</v>
      </c>
      <c r="I19" s="200">
        <f>SUM(G19:H19)</f>
        <v>12502</v>
      </c>
      <c r="J19" s="200">
        <v>13187</v>
      </c>
      <c r="K19" s="200">
        <v>434</v>
      </c>
      <c r="L19" s="200">
        <v>531</v>
      </c>
      <c r="M19" s="200">
        <v>0</v>
      </c>
      <c r="N19" s="201">
        <f>SUM(I19:M19)</f>
        <v>26654</v>
      </c>
      <c r="O19" s="201">
        <v>9865</v>
      </c>
      <c r="P19" s="201">
        <v>2237</v>
      </c>
      <c r="Q19" s="202">
        <f>SUM(N19:P19)</f>
        <v>38756</v>
      </c>
    </row>
    <row r="20" spans="1:17" s="205" customFormat="1" ht="48.75" customHeight="1" thickBot="1">
      <c r="A20" s="560" t="s">
        <v>535</v>
      </c>
      <c r="B20" s="561"/>
      <c r="C20" s="561"/>
      <c r="D20" s="561"/>
      <c r="E20" s="561"/>
      <c r="F20" s="562"/>
      <c r="G20" s="204"/>
      <c r="H20" s="204"/>
      <c r="I20" s="204"/>
      <c r="J20" s="204"/>
      <c r="K20" s="204"/>
      <c r="L20" s="204"/>
      <c r="M20" s="204"/>
      <c r="N20" s="201">
        <f>N19-N18</f>
        <v>1886</v>
      </c>
      <c r="O20" s="201">
        <f>O19-O18</f>
        <v>659</v>
      </c>
      <c r="P20" s="201">
        <f>P19-P18</f>
        <v>-24</v>
      </c>
      <c r="Q20" s="202">
        <f>Q19-Q18</f>
        <v>2521</v>
      </c>
    </row>
  </sheetData>
  <sheetProtection password="EE36" sheet="1" formatCells="0" formatColumns="0" formatRows="0" insertColumns="0" insertRows="0" insertHyperlinks="0" deleteColumns="0" deleteRows="0" sort="0" autoFilter="0" pivotTables="0"/>
  <mergeCells count="21">
    <mergeCell ref="A2:Q2"/>
    <mergeCell ref="B3:Q3"/>
    <mergeCell ref="A5:A18"/>
    <mergeCell ref="B5:B6"/>
    <mergeCell ref="C5:C6"/>
    <mergeCell ref="D5:D6"/>
    <mergeCell ref="E5:E6"/>
    <mergeCell ref="F5:F6"/>
    <mergeCell ref="A20:F20"/>
    <mergeCell ref="K5:K6"/>
    <mergeCell ref="L5:L6"/>
    <mergeCell ref="G5:I5"/>
    <mergeCell ref="B16:B17"/>
    <mergeCell ref="Q5:Q6"/>
    <mergeCell ref="J5:J6"/>
    <mergeCell ref="B9:B10"/>
    <mergeCell ref="O5:O6"/>
    <mergeCell ref="P5:P6"/>
    <mergeCell ref="B19:F19"/>
    <mergeCell ref="M5:M6"/>
    <mergeCell ref="N5:N6"/>
  </mergeCells>
  <printOptions horizontalCentered="1"/>
  <pageMargins left="0" right="0" top="0.6299212598425197" bottom="0.15748031496062992" header="0.15748031496062992" footer="0.15748031496062992"/>
  <pageSetup fitToHeight="2" horizontalDpi="600" verticalDpi="600" orientation="landscape" paperSize="8" scale="58" r:id="rId2"/>
  <headerFooter alignWithMargins="0">
    <oddHeader>&amp;L&amp;"Times New Roman,Normál"&amp;14Mezőgazdasági Szakigazgatási Hivatal&amp;R3/a. sz. melléklet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73" zoomScaleNormal="73" zoomScalePageLayoutView="0" workbookViewId="0" topLeftCell="A1">
      <selection activeCell="D142" sqref="D142"/>
    </sheetView>
  </sheetViews>
  <sheetFormatPr defaultColWidth="8.00390625" defaultRowHeight="15"/>
  <cols>
    <col min="1" max="1" width="26.28125" style="228" customWidth="1"/>
    <col min="2" max="2" width="13.57421875" style="156" customWidth="1"/>
    <col min="3" max="3" width="12.8515625" style="156" customWidth="1"/>
    <col min="4" max="4" width="13.421875" style="156" customWidth="1"/>
    <col min="5" max="5" width="11.00390625" style="156" customWidth="1"/>
    <col min="6" max="6" width="12.00390625" style="156" customWidth="1"/>
    <col min="7" max="16384" width="8.00390625" style="156" customWidth="1"/>
  </cols>
  <sheetData>
    <row r="1" spans="1:6" ht="49.5" customHeight="1">
      <c r="A1" s="575" t="s">
        <v>536</v>
      </c>
      <c r="B1" s="575"/>
      <c r="C1" s="575"/>
      <c r="D1" s="575"/>
      <c r="E1" s="575"/>
      <c r="F1" s="575"/>
    </row>
    <row r="2" spans="1:6" ht="25.5" customHeight="1">
      <c r="A2" s="208"/>
      <c r="B2" s="208"/>
      <c r="C2" s="208"/>
      <c r="D2" s="208"/>
      <c r="E2" s="208"/>
      <c r="F2" s="208"/>
    </row>
    <row r="3" spans="1:6" ht="15" customHeight="1">
      <c r="A3" s="208"/>
      <c r="B3" s="209"/>
      <c r="C3" s="209"/>
      <c r="D3" s="209"/>
      <c r="E3" s="210"/>
      <c r="F3" s="210" t="s">
        <v>0</v>
      </c>
    </row>
    <row r="4" spans="1:6" ht="33" customHeight="1">
      <c r="A4" s="576" t="s">
        <v>537</v>
      </c>
      <c r="B4" s="577"/>
      <c r="C4" s="577"/>
      <c r="D4" s="577"/>
      <c r="E4" s="577"/>
      <c r="F4" s="578"/>
    </row>
    <row r="5" spans="1:6" ht="25.5" customHeight="1">
      <c r="A5" s="579" t="s">
        <v>1</v>
      </c>
      <c r="B5" s="581" t="s">
        <v>552</v>
      </c>
      <c r="C5" s="581" t="s">
        <v>538</v>
      </c>
      <c r="D5" s="581" t="s">
        <v>518</v>
      </c>
      <c r="E5" s="581" t="s">
        <v>539</v>
      </c>
      <c r="F5" s="581" t="s">
        <v>540</v>
      </c>
    </row>
    <row r="6" spans="1:6" ht="54" customHeight="1">
      <c r="A6" s="580"/>
      <c r="B6" s="581"/>
      <c r="C6" s="581"/>
      <c r="D6" s="581"/>
      <c r="E6" s="581"/>
      <c r="F6" s="581"/>
    </row>
    <row r="7" spans="1:6" s="213" customFormat="1" ht="12.75">
      <c r="A7" s="211">
        <v>1</v>
      </c>
      <c r="B7" s="212">
        <v>2</v>
      </c>
      <c r="C7" s="212">
        <v>3</v>
      </c>
      <c r="D7" s="212" t="s">
        <v>541</v>
      </c>
      <c r="E7" s="212">
        <v>5</v>
      </c>
      <c r="F7" s="212" t="s">
        <v>542</v>
      </c>
    </row>
    <row r="8" spans="1:6" ht="18" customHeight="1" hidden="1">
      <c r="A8" s="573" t="s">
        <v>2</v>
      </c>
      <c r="B8" s="214">
        <v>2426</v>
      </c>
      <c r="C8" s="215">
        <v>3934</v>
      </c>
      <c r="D8" s="215">
        <f aca="true" t="shared" si="0" ref="D8:D39">SUM(B8:C8)</f>
        <v>6360</v>
      </c>
      <c r="E8" s="215">
        <v>2035</v>
      </c>
      <c r="F8" s="215">
        <f aca="true" t="shared" si="1" ref="F8:F15">SUM(D8:E8)</f>
        <v>8395</v>
      </c>
    </row>
    <row r="9" spans="1:6" ht="18" customHeight="1" hidden="1">
      <c r="A9" s="573"/>
      <c r="B9" s="215">
        <v>1065</v>
      </c>
      <c r="C9" s="215">
        <v>1776</v>
      </c>
      <c r="D9" s="215">
        <f t="shared" si="0"/>
        <v>2841</v>
      </c>
      <c r="E9" s="215">
        <v>909</v>
      </c>
      <c r="F9" s="215">
        <f t="shared" si="1"/>
        <v>3750</v>
      </c>
    </row>
    <row r="10" spans="1:6" ht="18" customHeight="1" hidden="1">
      <c r="A10" s="573"/>
      <c r="B10" s="215">
        <v>1518</v>
      </c>
      <c r="C10" s="215">
        <v>962</v>
      </c>
      <c r="D10" s="215">
        <f t="shared" si="0"/>
        <v>2480</v>
      </c>
      <c r="E10" s="215">
        <v>794</v>
      </c>
      <c r="F10" s="215">
        <f t="shared" si="1"/>
        <v>3274</v>
      </c>
    </row>
    <row r="11" spans="1:6" ht="18" customHeight="1" hidden="1">
      <c r="A11" s="573"/>
      <c r="B11" s="215">
        <v>1410</v>
      </c>
      <c r="C11" s="215">
        <v>905</v>
      </c>
      <c r="D11" s="215">
        <f t="shared" si="0"/>
        <v>2315</v>
      </c>
      <c r="E11" s="215">
        <v>741</v>
      </c>
      <c r="F11" s="215">
        <f t="shared" si="1"/>
        <v>3056</v>
      </c>
    </row>
    <row r="12" spans="1:6" ht="18" customHeight="1" hidden="1">
      <c r="A12" s="573"/>
      <c r="B12" s="215">
        <v>2128</v>
      </c>
      <c r="C12" s="215">
        <v>2891</v>
      </c>
      <c r="D12" s="215">
        <f t="shared" si="0"/>
        <v>5019</v>
      </c>
      <c r="E12" s="215">
        <v>1606</v>
      </c>
      <c r="F12" s="215">
        <f t="shared" si="1"/>
        <v>6625</v>
      </c>
    </row>
    <row r="13" spans="1:7" s="163" customFormat="1" ht="18" customHeight="1">
      <c r="A13" s="573"/>
      <c r="B13" s="214">
        <f>SUM(B8:B12)</f>
        <v>8547</v>
      </c>
      <c r="C13" s="214">
        <f>SUM(C8:C12)</f>
        <v>10468</v>
      </c>
      <c r="D13" s="214">
        <f t="shared" si="0"/>
        <v>19015</v>
      </c>
      <c r="E13" s="214">
        <f>SUM(E8:E12)</f>
        <v>6085</v>
      </c>
      <c r="F13" s="214">
        <f t="shared" si="1"/>
        <v>25100</v>
      </c>
      <c r="G13" s="216"/>
    </row>
    <row r="14" spans="1:7" ht="18" customHeight="1" hidden="1">
      <c r="A14" s="573" t="s">
        <v>3</v>
      </c>
      <c r="B14" s="214">
        <v>1368</v>
      </c>
      <c r="C14" s="214">
        <v>1749</v>
      </c>
      <c r="D14" s="214">
        <f t="shared" si="0"/>
        <v>3117</v>
      </c>
      <c r="E14" s="214">
        <v>997</v>
      </c>
      <c r="F14" s="214">
        <f t="shared" si="1"/>
        <v>4114</v>
      </c>
      <c r="G14" s="216"/>
    </row>
    <row r="15" spans="1:7" ht="18" customHeight="1" hidden="1">
      <c r="A15" s="573"/>
      <c r="B15" s="214">
        <v>1915</v>
      </c>
      <c r="C15" s="214">
        <v>1130</v>
      </c>
      <c r="D15" s="214">
        <f t="shared" si="0"/>
        <v>3045</v>
      </c>
      <c r="E15" s="214">
        <v>974</v>
      </c>
      <c r="F15" s="214">
        <f t="shared" si="1"/>
        <v>4019</v>
      </c>
      <c r="G15" s="216"/>
    </row>
    <row r="16" spans="1:7" s="217" customFormat="1" ht="18" customHeight="1">
      <c r="A16" s="573"/>
      <c r="B16" s="214">
        <f>SUM(B14:B15)</f>
        <v>3283</v>
      </c>
      <c r="C16" s="214">
        <f>SUM(C14:C15)</f>
        <v>2879</v>
      </c>
      <c r="D16" s="214">
        <f t="shared" si="0"/>
        <v>6162</v>
      </c>
      <c r="E16" s="214">
        <f>SUM(E14:E15)</f>
        <v>1971</v>
      </c>
      <c r="F16" s="214">
        <f>SUM(F14:F15)</f>
        <v>8133</v>
      </c>
      <c r="G16" s="216"/>
    </row>
    <row r="17" spans="1:7" ht="18" customHeight="1" hidden="1">
      <c r="A17" s="573" t="s">
        <v>4</v>
      </c>
      <c r="B17" s="214">
        <v>1560</v>
      </c>
      <c r="C17" s="214">
        <v>3199</v>
      </c>
      <c r="D17" s="214">
        <f t="shared" si="0"/>
        <v>4759</v>
      </c>
      <c r="E17" s="214">
        <v>1523</v>
      </c>
      <c r="F17" s="214">
        <f>SUM(D17:E17)</f>
        <v>6282</v>
      </c>
      <c r="G17" s="216"/>
    </row>
    <row r="18" spans="1:7" ht="18" customHeight="1" hidden="1">
      <c r="A18" s="573"/>
      <c r="B18" s="214">
        <v>901</v>
      </c>
      <c r="C18" s="214">
        <v>748</v>
      </c>
      <c r="D18" s="214">
        <f t="shared" si="0"/>
        <v>1649</v>
      </c>
      <c r="E18" s="214">
        <v>528</v>
      </c>
      <c r="F18" s="214">
        <f>SUM(D18:E18)</f>
        <v>2177</v>
      </c>
      <c r="G18" s="216"/>
    </row>
    <row r="19" spans="1:7" s="217" customFormat="1" ht="18" customHeight="1">
      <c r="A19" s="573"/>
      <c r="B19" s="214">
        <f>SUM(B17:B18)</f>
        <v>2461</v>
      </c>
      <c r="C19" s="214">
        <f>SUM(C17:C18)</f>
        <v>3947</v>
      </c>
      <c r="D19" s="214">
        <f t="shared" si="0"/>
        <v>6408</v>
      </c>
      <c r="E19" s="214">
        <f>SUM(E17:E18)</f>
        <v>2051</v>
      </c>
      <c r="F19" s="214">
        <f>SUM(F17:F18)</f>
        <v>8459</v>
      </c>
      <c r="G19" s="216"/>
    </row>
    <row r="20" spans="1:7" s="217" customFormat="1" ht="18" customHeight="1" hidden="1">
      <c r="A20" s="573" t="s">
        <v>6</v>
      </c>
      <c r="B20" s="214">
        <v>1587</v>
      </c>
      <c r="C20" s="214">
        <v>2246</v>
      </c>
      <c r="D20" s="214">
        <f t="shared" si="0"/>
        <v>3833</v>
      </c>
      <c r="E20" s="214">
        <v>1227</v>
      </c>
      <c r="F20" s="214">
        <f>SUM(D20:E20)</f>
        <v>5060</v>
      </c>
      <c r="G20" s="216"/>
    </row>
    <row r="21" spans="1:7" s="217" customFormat="1" ht="18" customHeight="1" hidden="1">
      <c r="A21" s="573"/>
      <c r="B21" s="214">
        <v>1334</v>
      </c>
      <c r="C21" s="214">
        <v>2430</v>
      </c>
      <c r="D21" s="214">
        <f t="shared" si="0"/>
        <v>3764</v>
      </c>
      <c r="E21" s="214">
        <v>1204</v>
      </c>
      <c r="F21" s="214">
        <f>SUM(D21:E21)</f>
        <v>4968</v>
      </c>
      <c r="G21" s="216"/>
    </row>
    <row r="22" spans="1:7" s="217" customFormat="1" ht="18" customHeight="1" hidden="1">
      <c r="A22" s="573"/>
      <c r="B22" s="214">
        <v>1021</v>
      </c>
      <c r="C22" s="214">
        <v>2454</v>
      </c>
      <c r="D22" s="214">
        <f t="shared" si="0"/>
        <v>3475</v>
      </c>
      <c r="E22" s="214">
        <v>1112</v>
      </c>
      <c r="F22" s="214">
        <f>SUM(D22:E22)</f>
        <v>4587</v>
      </c>
      <c r="G22" s="216"/>
    </row>
    <row r="23" spans="1:7" s="217" customFormat="1" ht="18" customHeight="1" hidden="1">
      <c r="A23" s="573"/>
      <c r="B23" s="214">
        <v>1358</v>
      </c>
      <c r="C23" s="214">
        <v>2611</v>
      </c>
      <c r="D23" s="214">
        <f t="shared" si="0"/>
        <v>3969</v>
      </c>
      <c r="E23" s="214">
        <v>1270</v>
      </c>
      <c r="F23" s="214">
        <f>SUM(D23:E23)</f>
        <v>5239</v>
      </c>
      <c r="G23" s="216"/>
    </row>
    <row r="24" spans="1:7" s="217" customFormat="1" ht="18" customHeight="1">
      <c r="A24" s="573"/>
      <c r="B24" s="214">
        <f>SUM(B20:B23)</f>
        <v>5300</v>
      </c>
      <c r="C24" s="214">
        <f>SUM(C20:C23)</f>
        <v>9741</v>
      </c>
      <c r="D24" s="214">
        <f t="shared" si="0"/>
        <v>15041</v>
      </c>
      <c r="E24" s="214">
        <f>SUM(E20:E23)</f>
        <v>4813</v>
      </c>
      <c r="F24" s="214">
        <f>SUM(F20:F23)</f>
        <v>19854</v>
      </c>
      <c r="G24" s="216"/>
    </row>
    <row r="25" spans="1:7" s="217" customFormat="1" ht="18" customHeight="1" hidden="1">
      <c r="A25" s="573" t="s">
        <v>7</v>
      </c>
      <c r="B25" s="214">
        <v>958</v>
      </c>
      <c r="C25" s="214">
        <v>2454</v>
      </c>
      <c r="D25" s="214">
        <f t="shared" si="0"/>
        <v>3412</v>
      </c>
      <c r="E25" s="214">
        <v>1092</v>
      </c>
      <c r="F25" s="214">
        <f>SUM(D25:E25)</f>
        <v>4504</v>
      </c>
      <c r="G25" s="216"/>
    </row>
    <row r="26" spans="1:7" s="217" customFormat="1" ht="18" customHeight="1" hidden="1">
      <c r="A26" s="573"/>
      <c r="B26" s="214">
        <v>939</v>
      </c>
      <c r="C26" s="214">
        <v>2454</v>
      </c>
      <c r="D26" s="214">
        <f t="shared" si="0"/>
        <v>3393</v>
      </c>
      <c r="E26" s="214">
        <v>1086</v>
      </c>
      <c r="F26" s="214">
        <f>SUM(D26:E26)</f>
        <v>4479</v>
      </c>
      <c r="G26" s="216"/>
    </row>
    <row r="27" spans="1:7" s="217" customFormat="1" ht="18" customHeight="1" hidden="1">
      <c r="A27" s="573"/>
      <c r="B27" s="214">
        <v>1498</v>
      </c>
      <c r="C27" s="214">
        <v>2175</v>
      </c>
      <c r="D27" s="214">
        <f t="shared" si="0"/>
        <v>3673</v>
      </c>
      <c r="E27" s="214">
        <v>1175</v>
      </c>
      <c r="F27" s="214">
        <f>SUM(D27:E27)</f>
        <v>4848</v>
      </c>
      <c r="G27" s="216"/>
    </row>
    <row r="28" spans="1:7" s="217" customFormat="1" ht="18" customHeight="1" hidden="1">
      <c r="A28" s="573"/>
      <c r="B28" s="214">
        <v>1318</v>
      </c>
      <c r="C28" s="214">
        <v>2040</v>
      </c>
      <c r="D28" s="214">
        <f t="shared" si="0"/>
        <v>3358</v>
      </c>
      <c r="E28" s="214">
        <v>1075</v>
      </c>
      <c r="F28" s="214">
        <f>SUM(D28:E28)</f>
        <v>4433</v>
      </c>
      <c r="G28" s="216"/>
    </row>
    <row r="29" spans="1:7" s="217" customFormat="1" ht="18" customHeight="1">
      <c r="A29" s="573"/>
      <c r="B29" s="214">
        <f>SUM(B25:B28)</f>
        <v>4713</v>
      </c>
      <c r="C29" s="214">
        <f>SUM(C25:C28)</f>
        <v>9123</v>
      </c>
      <c r="D29" s="214">
        <f t="shared" si="0"/>
        <v>13836</v>
      </c>
      <c r="E29" s="214">
        <f>SUM(E25:E28)</f>
        <v>4428</v>
      </c>
      <c r="F29" s="214">
        <f>SUM(F25:F28)</f>
        <v>18264</v>
      </c>
      <c r="G29" s="216"/>
    </row>
    <row r="30" spans="1:7" s="217" customFormat="1" ht="18" customHeight="1" hidden="1">
      <c r="A30" s="573" t="s">
        <v>8</v>
      </c>
      <c r="B30" s="214">
        <v>1456</v>
      </c>
      <c r="C30" s="214">
        <v>2175</v>
      </c>
      <c r="D30" s="214">
        <f t="shared" si="0"/>
        <v>3631</v>
      </c>
      <c r="E30" s="214">
        <v>1162</v>
      </c>
      <c r="F30" s="214">
        <f>SUM(D30:E30)</f>
        <v>4793</v>
      </c>
      <c r="G30" s="216"/>
    </row>
    <row r="31" spans="1:7" s="217" customFormat="1" ht="18" customHeight="1" hidden="1">
      <c r="A31" s="573"/>
      <c r="B31" s="214">
        <v>1571</v>
      </c>
      <c r="C31" s="214">
        <v>4118</v>
      </c>
      <c r="D31" s="214">
        <f t="shared" si="0"/>
        <v>5689</v>
      </c>
      <c r="E31" s="214">
        <v>1820</v>
      </c>
      <c r="F31" s="214">
        <f>SUM(D31:E31)</f>
        <v>7509</v>
      </c>
      <c r="G31" s="216"/>
    </row>
    <row r="32" spans="1:7" s="217" customFormat="1" ht="18" customHeight="1">
      <c r="A32" s="573"/>
      <c r="B32" s="214">
        <f>SUM(B30:B31)</f>
        <v>3027</v>
      </c>
      <c r="C32" s="214">
        <f>SUM(C30:C31)</f>
        <v>6293</v>
      </c>
      <c r="D32" s="214">
        <f t="shared" si="0"/>
        <v>9320</v>
      </c>
      <c r="E32" s="214">
        <f>SUM(E30:E31)</f>
        <v>2982</v>
      </c>
      <c r="F32" s="214">
        <f>SUM(F30:F31)</f>
        <v>12302</v>
      </c>
      <c r="G32" s="216"/>
    </row>
    <row r="33" spans="1:7" s="217" customFormat="1" ht="18" customHeight="1" hidden="1">
      <c r="A33" s="573" t="s">
        <v>9</v>
      </c>
      <c r="B33" s="214">
        <v>997</v>
      </c>
      <c r="C33" s="214">
        <v>1823</v>
      </c>
      <c r="D33" s="214">
        <f t="shared" si="0"/>
        <v>2820</v>
      </c>
      <c r="E33" s="214">
        <v>902</v>
      </c>
      <c r="F33" s="214">
        <f>SUM(D33:E33)</f>
        <v>3722</v>
      </c>
      <c r="G33" s="216"/>
    </row>
    <row r="34" spans="1:7" s="217" customFormat="1" ht="18" customHeight="1" hidden="1">
      <c r="A34" s="573"/>
      <c r="B34" s="214">
        <v>2204</v>
      </c>
      <c r="C34" s="214">
        <v>5044</v>
      </c>
      <c r="D34" s="214">
        <f t="shared" si="0"/>
        <v>7248</v>
      </c>
      <c r="E34" s="214">
        <v>2319</v>
      </c>
      <c r="F34" s="214">
        <f>SUM(D34:E34)</f>
        <v>9567</v>
      </c>
      <c r="G34" s="216"/>
    </row>
    <row r="35" spans="1:7" s="217" customFormat="1" ht="18" customHeight="1" hidden="1">
      <c r="A35" s="573"/>
      <c r="B35" s="214">
        <v>797</v>
      </c>
      <c r="C35" s="214">
        <v>1841</v>
      </c>
      <c r="D35" s="214">
        <f t="shared" si="0"/>
        <v>2638</v>
      </c>
      <c r="E35" s="214">
        <v>844</v>
      </c>
      <c r="F35" s="214">
        <f>SUM(D35:E35)</f>
        <v>3482</v>
      </c>
      <c r="G35" s="216"/>
    </row>
    <row r="36" spans="1:7" s="217" customFormat="1" ht="18" customHeight="1">
      <c r="A36" s="573"/>
      <c r="B36" s="214">
        <f>SUM(B33:B35)</f>
        <v>3998</v>
      </c>
      <c r="C36" s="214">
        <f>SUM(C33:C35)</f>
        <v>8708</v>
      </c>
      <c r="D36" s="214">
        <f t="shared" si="0"/>
        <v>12706</v>
      </c>
      <c r="E36" s="214">
        <f>SUM(E33:E35)</f>
        <v>4065</v>
      </c>
      <c r="F36" s="214">
        <f>SUM(F33:F35)</f>
        <v>16771</v>
      </c>
      <c r="G36" s="216"/>
    </row>
    <row r="37" spans="1:7" s="217" customFormat="1" ht="18" customHeight="1" hidden="1">
      <c r="A37" s="573" t="s">
        <v>11</v>
      </c>
      <c r="B37" s="214">
        <v>792</v>
      </c>
      <c r="C37" s="214">
        <v>1072</v>
      </c>
      <c r="D37" s="214">
        <f t="shared" si="0"/>
        <v>1864</v>
      </c>
      <c r="E37" s="214">
        <v>604</v>
      </c>
      <c r="F37" s="214">
        <f>SUM(D37:E37)</f>
        <v>2468</v>
      </c>
      <c r="G37" s="216"/>
    </row>
    <row r="38" spans="1:7" s="217" customFormat="1" ht="18" customHeight="1">
      <c r="A38" s="573"/>
      <c r="B38" s="214">
        <f>SUM(B37)</f>
        <v>792</v>
      </c>
      <c r="C38" s="214">
        <f>SUM(C37)</f>
        <v>1072</v>
      </c>
      <c r="D38" s="214">
        <f t="shared" si="0"/>
        <v>1864</v>
      </c>
      <c r="E38" s="214">
        <f>SUM(E37)</f>
        <v>604</v>
      </c>
      <c r="F38" s="214">
        <f>SUM(F37)</f>
        <v>2468</v>
      </c>
      <c r="G38" s="216"/>
    </row>
    <row r="39" spans="1:7" s="217" customFormat="1" ht="18" customHeight="1" hidden="1">
      <c r="A39" s="573" t="s">
        <v>12</v>
      </c>
      <c r="B39" s="214">
        <v>1340</v>
      </c>
      <c r="C39" s="214">
        <v>2040</v>
      </c>
      <c r="D39" s="214">
        <f t="shared" si="0"/>
        <v>3380</v>
      </c>
      <c r="E39" s="214">
        <v>1082</v>
      </c>
      <c r="F39" s="214">
        <f>SUM(D39:E39)</f>
        <v>4462</v>
      </c>
      <c r="G39" s="216"/>
    </row>
    <row r="40" spans="1:7" s="217" customFormat="1" ht="18" customHeight="1" hidden="1">
      <c r="A40" s="573"/>
      <c r="B40" s="214">
        <v>1392</v>
      </c>
      <c r="C40" s="214">
        <v>2111</v>
      </c>
      <c r="D40" s="214">
        <f aca="true" t="shared" si="2" ref="D40:D56">SUM(B40:C40)</f>
        <v>3503</v>
      </c>
      <c r="E40" s="214">
        <v>1121</v>
      </c>
      <c r="F40" s="214">
        <f>SUM(D40:E40)</f>
        <v>4624</v>
      </c>
      <c r="G40" s="216"/>
    </row>
    <row r="41" spans="1:7" s="217" customFormat="1" ht="18" customHeight="1">
      <c r="A41" s="573"/>
      <c r="B41" s="214">
        <f>SUM(B39:B40)</f>
        <v>2732</v>
      </c>
      <c r="C41" s="214">
        <f>SUM(C39:C40)</f>
        <v>4151</v>
      </c>
      <c r="D41" s="214">
        <f t="shared" si="2"/>
        <v>6883</v>
      </c>
      <c r="E41" s="214">
        <f>SUM(E39:E40)</f>
        <v>2203</v>
      </c>
      <c r="F41" s="214">
        <f>SUM(F39:F40)</f>
        <v>9086</v>
      </c>
      <c r="G41" s="216"/>
    </row>
    <row r="42" spans="1:7" s="217" customFormat="1" ht="18" customHeight="1" hidden="1">
      <c r="A42" s="574" t="s">
        <v>13</v>
      </c>
      <c r="B42" s="214">
        <v>949</v>
      </c>
      <c r="C42" s="214">
        <v>1497</v>
      </c>
      <c r="D42" s="214">
        <f t="shared" si="2"/>
        <v>2446</v>
      </c>
      <c r="E42" s="214">
        <v>791</v>
      </c>
      <c r="F42" s="214">
        <f>SUM(D42:E42)</f>
        <v>3237</v>
      </c>
      <c r="G42" s="216"/>
    </row>
    <row r="43" spans="1:7" s="217" customFormat="1" ht="18" customHeight="1" hidden="1">
      <c r="A43" s="574"/>
      <c r="B43" s="214">
        <v>998</v>
      </c>
      <c r="C43" s="214">
        <v>1391</v>
      </c>
      <c r="D43" s="214">
        <f t="shared" si="2"/>
        <v>2389</v>
      </c>
      <c r="E43" s="214">
        <v>772</v>
      </c>
      <c r="F43" s="214">
        <f>SUM(D43:E43)</f>
        <v>3161</v>
      </c>
      <c r="G43" s="216"/>
    </row>
    <row r="44" spans="1:7" s="217" customFormat="1" ht="18" customHeight="1">
      <c r="A44" s="574"/>
      <c r="B44" s="214">
        <f>SUM(B42:B43)</f>
        <v>1947</v>
      </c>
      <c r="C44" s="214">
        <f>SUM(C42:C43)</f>
        <v>2888</v>
      </c>
      <c r="D44" s="214">
        <f t="shared" si="2"/>
        <v>4835</v>
      </c>
      <c r="E44" s="214">
        <f>SUM(E42:E43)</f>
        <v>1563</v>
      </c>
      <c r="F44" s="214">
        <f>SUM(F42:F43)</f>
        <v>6398</v>
      </c>
      <c r="G44" s="216"/>
    </row>
    <row r="45" spans="1:7" s="217" customFormat="1" ht="18" customHeight="1" hidden="1">
      <c r="A45" s="573" t="s">
        <v>16</v>
      </c>
      <c r="B45" s="214">
        <v>1568</v>
      </c>
      <c r="C45" s="214">
        <v>3936</v>
      </c>
      <c r="D45" s="214">
        <f t="shared" si="2"/>
        <v>5504</v>
      </c>
      <c r="E45" s="214">
        <v>1761</v>
      </c>
      <c r="F45" s="214">
        <f>SUM(D45:E45)</f>
        <v>7265</v>
      </c>
      <c r="G45" s="216"/>
    </row>
    <row r="46" spans="1:7" s="217" customFormat="1" ht="18" customHeight="1" hidden="1">
      <c r="A46" s="573"/>
      <c r="B46" s="214">
        <v>1004</v>
      </c>
      <c r="C46" s="214">
        <v>1614</v>
      </c>
      <c r="D46" s="214">
        <f t="shared" si="2"/>
        <v>2618</v>
      </c>
      <c r="E46" s="214">
        <v>838</v>
      </c>
      <c r="F46" s="214">
        <f>SUM(D46:E46)</f>
        <v>3456</v>
      </c>
      <c r="G46" s="216"/>
    </row>
    <row r="47" spans="1:7" s="217" customFormat="1" ht="18" customHeight="1" hidden="1">
      <c r="A47" s="573"/>
      <c r="B47" s="214">
        <v>997</v>
      </c>
      <c r="C47" s="214">
        <v>2447</v>
      </c>
      <c r="D47" s="214">
        <f t="shared" si="2"/>
        <v>3444</v>
      </c>
      <c r="E47" s="214">
        <v>1102</v>
      </c>
      <c r="F47" s="214">
        <f>SUM(D47:E47)</f>
        <v>4546</v>
      </c>
      <c r="G47" s="216"/>
    </row>
    <row r="48" spans="1:7" s="217" customFormat="1" ht="18" customHeight="1">
      <c r="A48" s="573"/>
      <c r="B48" s="214">
        <f>SUM(B45:B47)</f>
        <v>3569</v>
      </c>
      <c r="C48" s="214">
        <f>SUM(C45:C47)</f>
        <v>7997</v>
      </c>
      <c r="D48" s="214">
        <f t="shared" si="2"/>
        <v>11566</v>
      </c>
      <c r="E48" s="214">
        <f>SUM(E45:E47)</f>
        <v>3701</v>
      </c>
      <c r="F48" s="214">
        <f>SUM(F45:F47)</f>
        <v>15267</v>
      </c>
      <c r="G48" s="216"/>
    </row>
    <row r="49" spans="1:7" s="217" customFormat="1" ht="18" customHeight="1" hidden="1">
      <c r="A49" s="573" t="s">
        <v>19</v>
      </c>
      <c r="B49" s="214">
        <v>529</v>
      </c>
      <c r="C49" s="214">
        <v>935</v>
      </c>
      <c r="D49" s="214">
        <f t="shared" si="2"/>
        <v>1464</v>
      </c>
      <c r="E49" s="214">
        <v>468</v>
      </c>
      <c r="F49" s="214">
        <f>SUM(D49:E49)</f>
        <v>1932</v>
      </c>
      <c r="G49" s="216"/>
    </row>
    <row r="50" spans="1:7" s="217" customFormat="1" ht="18" customHeight="1">
      <c r="A50" s="573"/>
      <c r="B50" s="214">
        <f>SUM(B49)</f>
        <v>529</v>
      </c>
      <c r="C50" s="214">
        <f>SUM(C49)</f>
        <v>935</v>
      </c>
      <c r="D50" s="214">
        <f t="shared" si="2"/>
        <v>1464</v>
      </c>
      <c r="E50" s="214">
        <f>SUM(E49)</f>
        <v>468</v>
      </c>
      <c r="F50" s="214">
        <f>SUM(F49)</f>
        <v>1932</v>
      </c>
      <c r="G50" s="216"/>
    </row>
    <row r="51" spans="1:7" s="217" customFormat="1" ht="18" customHeight="1" hidden="1">
      <c r="A51" s="573" t="s">
        <v>20</v>
      </c>
      <c r="B51" s="214">
        <v>1878</v>
      </c>
      <c r="C51" s="214">
        <v>4837</v>
      </c>
      <c r="D51" s="214">
        <f t="shared" si="2"/>
        <v>6715</v>
      </c>
      <c r="E51" s="214">
        <v>2149</v>
      </c>
      <c r="F51" s="214">
        <f>SUM(D51:E51)</f>
        <v>8864</v>
      </c>
      <c r="G51" s="216"/>
    </row>
    <row r="52" spans="1:7" s="217" customFormat="1" ht="18" customHeight="1" hidden="1">
      <c r="A52" s="573"/>
      <c r="B52" s="214">
        <v>1864</v>
      </c>
      <c r="C52" s="214">
        <v>4546</v>
      </c>
      <c r="D52" s="214">
        <f t="shared" si="2"/>
        <v>6410</v>
      </c>
      <c r="E52" s="214">
        <v>2051</v>
      </c>
      <c r="F52" s="214">
        <f>SUM(D52:E52)</f>
        <v>8461</v>
      </c>
      <c r="G52" s="216"/>
    </row>
    <row r="53" spans="1:7" s="217" customFormat="1" ht="18" customHeight="1" hidden="1">
      <c r="A53" s="573"/>
      <c r="B53" s="214">
        <v>1483</v>
      </c>
      <c r="C53" s="214">
        <v>2870</v>
      </c>
      <c r="D53" s="214">
        <f t="shared" si="2"/>
        <v>4353</v>
      </c>
      <c r="E53" s="214">
        <v>1393</v>
      </c>
      <c r="F53" s="214">
        <f>SUM(D53:E53)</f>
        <v>5746</v>
      </c>
      <c r="G53" s="216"/>
    </row>
    <row r="54" spans="1:7" s="217" customFormat="1" ht="18" customHeight="1" hidden="1">
      <c r="A54" s="573"/>
      <c r="B54" s="214">
        <v>2151</v>
      </c>
      <c r="C54" s="214">
        <v>5545</v>
      </c>
      <c r="D54" s="214">
        <f t="shared" si="2"/>
        <v>7696</v>
      </c>
      <c r="E54" s="214">
        <v>2463</v>
      </c>
      <c r="F54" s="214">
        <f>SUM(D54:E54)</f>
        <v>10159</v>
      </c>
      <c r="G54" s="216"/>
    </row>
    <row r="55" spans="1:7" s="217" customFormat="1" ht="18" customHeight="1" hidden="1">
      <c r="A55" s="573"/>
      <c r="B55" s="214">
        <v>1003</v>
      </c>
      <c r="C55" s="214">
        <v>1303</v>
      </c>
      <c r="D55" s="214">
        <f t="shared" si="2"/>
        <v>2306</v>
      </c>
      <c r="E55" s="214">
        <v>296</v>
      </c>
      <c r="F55" s="214">
        <f>SUM(D55:E55)</f>
        <v>2602</v>
      </c>
      <c r="G55" s="216"/>
    </row>
    <row r="56" spans="1:7" s="217" customFormat="1" ht="18" customHeight="1">
      <c r="A56" s="573"/>
      <c r="B56" s="214">
        <f>SUM(B51:B55)</f>
        <v>8379</v>
      </c>
      <c r="C56" s="214">
        <f>SUM(C51:C55)</f>
        <v>19101</v>
      </c>
      <c r="D56" s="214">
        <f t="shared" si="2"/>
        <v>27480</v>
      </c>
      <c r="E56" s="214">
        <f>SUM(E51:E55)</f>
        <v>8352</v>
      </c>
      <c r="F56" s="214">
        <f>SUM(F51:F55)</f>
        <v>35832</v>
      </c>
      <c r="G56" s="216"/>
    </row>
    <row r="57" spans="1:7" s="205" customFormat="1" ht="18.75" customHeight="1">
      <c r="A57" s="218" t="s">
        <v>543</v>
      </c>
      <c r="B57" s="219">
        <f>SUM(B56,B50,B48,B44,B41,B38,B36,B32,B29,B24,B19,B16,B13)</f>
        <v>49277</v>
      </c>
      <c r="C57" s="219">
        <f>SUM(C56,C50,C48,C44,C41,C38,C36,C32,C29,C24,C19,C16,C13)</f>
        <v>87303</v>
      </c>
      <c r="D57" s="219">
        <f>SUM(D56,D50,D48,D44,D41,D38,D36,D32,D29,D24,D19,D16,D13)</f>
        <v>136580</v>
      </c>
      <c r="E57" s="219">
        <f>SUM(E56,E50,E48,E44,E41,E38,E36,E32,E29,E24,E19,E16,E13)</f>
        <v>43286</v>
      </c>
      <c r="F57" s="219">
        <f>SUM(F56,F50,F48,F44,F41,F38,F36,F32,F29,F24,F19,F16,F13)</f>
        <v>179866</v>
      </c>
      <c r="G57" s="216"/>
    </row>
    <row r="58" spans="1:7" s="217" customFormat="1" ht="18" customHeight="1" hidden="1">
      <c r="A58" s="220" t="s">
        <v>544</v>
      </c>
      <c r="B58" s="215">
        <v>1827</v>
      </c>
      <c r="C58" s="215">
        <v>3094</v>
      </c>
      <c r="D58" s="215">
        <f>SUM(B58:C58)</f>
        <v>4921</v>
      </c>
      <c r="E58" s="215">
        <v>1575</v>
      </c>
      <c r="F58" s="215">
        <f>SUM(D58:E58)</f>
        <v>6496</v>
      </c>
      <c r="G58" s="216"/>
    </row>
    <row r="59" spans="1:7" s="217" customFormat="1" ht="18" customHeight="1" hidden="1">
      <c r="A59" s="220" t="s">
        <v>545</v>
      </c>
      <c r="B59" s="215">
        <v>1547</v>
      </c>
      <c r="C59" s="215">
        <v>2829</v>
      </c>
      <c r="D59" s="215">
        <f>SUM(B59:C59)</f>
        <v>4376</v>
      </c>
      <c r="E59" s="215">
        <v>1400</v>
      </c>
      <c r="F59" s="215">
        <f>SUM(D59:E59)</f>
        <v>5776</v>
      </c>
      <c r="G59" s="216"/>
    </row>
    <row r="60" spans="1:7" s="217" customFormat="1" ht="18" customHeight="1" hidden="1">
      <c r="A60" s="220" t="s">
        <v>546</v>
      </c>
      <c r="B60" s="215">
        <v>3375</v>
      </c>
      <c r="C60" s="215">
        <v>6408</v>
      </c>
      <c r="D60" s="215">
        <f>SUM(B60:C60)</f>
        <v>9783</v>
      </c>
      <c r="E60" s="215">
        <v>3130</v>
      </c>
      <c r="F60" s="215">
        <f>SUM(D60:E60)</f>
        <v>12913</v>
      </c>
      <c r="G60" s="216"/>
    </row>
    <row r="61" spans="1:7" s="217" customFormat="1" ht="18" customHeight="1" hidden="1">
      <c r="A61" s="220" t="s">
        <v>547</v>
      </c>
      <c r="B61" s="215">
        <v>2834</v>
      </c>
      <c r="C61" s="215">
        <v>7436</v>
      </c>
      <c r="D61" s="215">
        <f>SUM(B61:C61)</f>
        <v>10270</v>
      </c>
      <c r="E61" s="215">
        <v>3286</v>
      </c>
      <c r="F61" s="215">
        <f>SUM(D61:E61)</f>
        <v>13556</v>
      </c>
      <c r="G61" s="216"/>
    </row>
    <row r="62" spans="1:7" s="205" customFormat="1" ht="18.75" customHeight="1">
      <c r="A62" s="218" t="s">
        <v>548</v>
      </c>
      <c r="B62" s="219">
        <v>9583</v>
      </c>
      <c r="C62" s="219">
        <v>19767</v>
      </c>
      <c r="D62" s="219">
        <f>SUM(D58:D61)</f>
        <v>29350</v>
      </c>
      <c r="E62" s="219">
        <v>9391</v>
      </c>
      <c r="F62" s="219">
        <f>SUM(F58:F61)</f>
        <v>38741</v>
      </c>
      <c r="G62" s="216"/>
    </row>
    <row r="63" spans="1:7" s="205" customFormat="1" ht="36" customHeight="1">
      <c r="A63" s="221" t="s">
        <v>549</v>
      </c>
      <c r="B63" s="222">
        <f>SUM(B57,B62)</f>
        <v>58860</v>
      </c>
      <c r="C63" s="222">
        <f>SUM(C57,C62)</f>
        <v>107070</v>
      </c>
      <c r="D63" s="223">
        <f>SUM(D57,D62)</f>
        <v>165930</v>
      </c>
      <c r="E63" s="223">
        <f>SUM(E57,E62)</f>
        <v>52677</v>
      </c>
      <c r="F63" s="223">
        <f>SUM(F57,F62)</f>
        <v>218607</v>
      </c>
      <c r="G63" s="216"/>
    </row>
    <row r="64" spans="1:6" s="225" customFormat="1" ht="15.75">
      <c r="A64" s="224"/>
      <c r="F64" s="226">
        <f>SUM(D63:E63)</f>
        <v>218607</v>
      </c>
    </row>
    <row r="65" spans="1:6" s="225" customFormat="1" ht="15.75">
      <c r="A65" s="224"/>
      <c r="F65" s="226"/>
    </row>
    <row r="66" spans="1:6" s="228" customFormat="1" ht="49.5" customHeight="1">
      <c r="A66" s="227" t="s">
        <v>550</v>
      </c>
      <c r="B66" s="222">
        <v>57833</v>
      </c>
      <c r="C66" s="222">
        <v>118571</v>
      </c>
      <c r="D66" s="223">
        <f>SUM(B66:C66)</f>
        <v>176404</v>
      </c>
      <c r="E66" s="223">
        <v>56445</v>
      </c>
      <c r="F66" s="223">
        <f>SUM(D66:E66)</f>
        <v>232849</v>
      </c>
    </row>
    <row r="68" spans="1:6" s="228" customFormat="1" ht="33" customHeight="1">
      <c r="A68" s="229" t="s">
        <v>379</v>
      </c>
      <c r="B68" s="230">
        <f>B66-B63</f>
        <v>-1027</v>
      </c>
      <c r="C68" s="230">
        <f>C66-C63</f>
        <v>11501</v>
      </c>
      <c r="D68" s="231">
        <f>SUM(B68:C68)</f>
        <v>10474</v>
      </c>
      <c r="E68" s="231">
        <f>E66-E63</f>
        <v>3768</v>
      </c>
      <c r="F68" s="231">
        <f>F66-F63</f>
        <v>14242</v>
      </c>
    </row>
    <row r="69" ht="15.75">
      <c r="A69" s="232"/>
    </row>
    <row r="70" spans="1:6" ht="32.25" customHeight="1">
      <c r="A70" s="233" t="s">
        <v>551</v>
      </c>
      <c r="B70" s="222"/>
      <c r="C70" s="222">
        <v>11501</v>
      </c>
      <c r="D70" s="223">
        <f>SUM(B70:C70)</f>
        <v>11501</v>
      </c>
      <c r="E70" s="223">
        <v>4097</v>
      </c>
      <c r="F70" s="223">
        <f>SUM(D70:E70)</f>
        <v>15598</v>
      </c>
    </row>
  </sheetData>
  <sheetProtection password="EE36" sheet="1" formatCells="0" formatColumns="0" formatRows="0" insertColumns="0" insertRows="0" insertHyperlinks="0" deleteColumns="0" deleteRows="0" sort="0" autoFilter="0" pivotTables="0"/>
  <mergeCells count="21">
    <mergeCell ref="A1:F1"/>
    <mergeCell ref="A4:F4"/>
    <mergeCell ref="A5:A6"/>
    <mergeCell ref="B5:B6"/>
    <mergeCell ref="C5:C6"/>
    <mergeCell ref="D5:D6"/>
    <mergeCell ref="E5:E6"/>
    <mergeCell ref="F5:F6"/>
    <mergeCell ref="A8:A13"/>
    <mergeCell ref="A14:A16"/>
    <mergeCell ref="A17:A19"/>
    <mergeCell ref="A20:A24"/>
    <mergeCell ref="A25:A29"/>
    <mergeCell ref="A30:A32"/>
    <mergeCell ref="A51:A56"/>
    <mergeCell ref="A33:A36"/>
    <mergeCell ref="A37:A38"/>
    <mergeCell ref="A39:A41"/>
    <mergeCell ref="A42:A44"/>
    <mergeCell ref="A45:A48"/>
    <mergeCell ref="A49:A50"/>
  </mergeCells>
  <printOptions horizontalCentered="1"/>
  <pageMargins left="0.7480314960629921" right="0.7480314960629921" top="0.62" bottom="0.3937007874015748" header="0.2755905511811024" footer="0.15748031496062992"/>
  <pageSetup horizontalDpi="600" verticalDpi="600" orientation="portrait" paperSize="9" scale="85" r:id="rId1"/>
  <headerFooter alignWithMargins="0">
    <oddHeader>&amp;L&amp;"Times New Roman,Normál"Mezőgazdasági Szakigazgatási Hivatal&amp;R3/b.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16" sqref="E16"/>
    </sheetView>
  </sheetViews>
  <sheetFormatPr defaultColWidth="8.00390625" defaultRowHeight="15"/>
  <cols>
    <col min="1" max="1" width="18.00390625" style="239" customWidth="1"/>
    <col min="2" max="2" width="6.7109375" style="240" customWidth="1"/>
    <col min="3" max="4" width="16.421875" style="235" customWidth="1"/>
    <col min="5" max="5" width="18.8515625" style="235" customWidth="1"/>
    <col min="6" max="18" width="8.00390625" style="235" customWidth="1"/>
    <col min="19" max="16384" width="8.00390625" style="236" customWidth="1"/>
  </cols>
  <sheetData>
    <row r="1" spans="1:15" ht="15.75">
      <c r="A1" s="582" t="s">
        <v>553</v>
      </c>
      <c r="B1" s="582"/>
      <c r="C1" s="582"/>
      <c r="D1" s="582"/>
      <c r="E1" s="582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8" s="238" customFormat="1" ht="15.75">
      <c r="A2" s="582" t="s">
        <v>554</v>
      </c>
      <c r="B2" s="582"/>
      <c r="C2" s="582"/>
      <c r="D2" s="582"/>
      <c r="E2" s="582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7"/>
      <c r="Q2" s="237"/>
      <c r="R2" s="237"/>
    </row>
    <row r="3" spans="1:18" s="238" customFormat="1" ht="15.75">
      <c r="A3" s="583" t="s">
        <v>555</v>
      </c>
      <c r="B3" s="583"/>
      <c r="C3" s="583"/>
      <c r="D3" s="583"/>
      <c r="E3" s="58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7"/>
      <c r="Q3" s="237"/>
      <c r="R3" s="237"/>
    </row>
    <row r="4" spans="1:18" s="238" customFormat="1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7"/>
      <c r="Q4" s="237"/>
      <c r="R4" s="237"/>
    </row>
    <row r="5" spans="1:18" s="238" customFormat="1" ht="15.75">
      <c r="A5" s="582"/>
      <c r="B5" s="582"/>
      <c r="C5" s="582"/>
      <c r="D5" s="582"/>
      <c r="E5" s="582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</row>
    <row r="6" ht="12.75">
      <c r="E6" s="241" t="s">
        <v>0</v>
      </c>
    </row>
    <row r="7" spans="1:18" s="244" customFormat="1" ht="40.5" customHeight="1">
      <c r="A7" s="584" t="s">
        <v>556</v>
      </c>
      <c r="B7" s="585" t="s">
        <v>510</v>
      </c>
      <c r="C7" s="588" t="s">
        <v>557</v>
      </c>
      <c r="D7" s="591" t="s">
        <v>558</v>
      </c>
      <c r="E7" s="591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</row>
    <row r="8" spans="1:18" s="244" customFormat="1" ht="15" customHeight="1">
      <c r="A8" s="584"/>
      <c r="B8" s="586"/>
      <c r="C8" s="589"/>
      <c r="D8" s="591"/>
      <c r="E8" s="591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5" s="245" customFormat="1" ht="25.5">
      <c r="A9" s="584"/>
      <c r="B9" s="587"/>
      <c r="C9" s="590"/>
      <c r="D9" s="242" t="s">
        <v>559</v>
      </c>
      <c r="E9" s="242" t="s">
        <v>59</v>
      </c>
    </row>
    <row r="10" spans="1:18" s="251" customFormat="1" ht="19.5" customHeight="1">
      <c r="A10" s="246" t="s">
        <v>560</v>
      </c>
      <c r="B10" s="247">
        <v>1</v>
      </c>
      <c r="C10" s="248">
        <v>166</v>
      </c>
      <c r="D10" s="249">
        <v>166</v>
      </c>
      <c r="E10" s="249">
        <v>166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18" s="251" customFormat="1" ht="19.5" customHeight="1">
      <c r="A11" s="252" t="s">
        <v>561</v>
      </c>
      <c r="B11" s="247">
        <v>2</v>
      </c>
      <c r="C11" s="248">
        <v>331</v>
      </c>
      <c r="D11" s="249">
        <v>331</v>
      </c>
      <c r="E11" s="249">
        <v>331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18" s="251" customFormat="1" ht="19.5" customHeight="1">
      <c r="A12" s="252" t="s">
        <v>562</v>
      </c>
      <c r="B12" s="247">
        <v>1</v>
      </c>
      <c r="C12" s="248">
        <v>166</v>
      </c>
      <c r="D12" s="249">
        <v>166</v>
      </c>
      <c r="E12" s="249">
        <v>166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18" s="251" customFormat="1" ht="19.5" customHeight="1">
      <c r="A13" s="252" t="s">
        <v>545</v>
      </c>
      <c r="B13" s="247">
        <v>2</v>
      </c>
      <c r="C13" s="248">
        <v>331</v>
      </c>
      <c r="D13" s="249">
        <v>331</v>
      </c>
      <c r="E13" s="249">
        <v>331</v>
      </c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18" s="251" customFormat="1" ht="19.5" customHeight="1">
      <c r="A14" s="252" t="s">
        <v>547</v>
      </c>
      <c r="B14" s="247">
        <v>2</v>
      </c>
      <c r="C14" s="248">
        <v>331</v>
      </c>
      <c r="D14" s="249">
        <v>331</v>
      </c>
      <c r="E14" s="249">
        <v>331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18" s="251" customFormat="1" ht="19.5" customHeight="1">
      <c r="A15" s="252" t="s">
        <v>563</v>
      </c>
      <c r="B15" s="247">
        <v>2</v>
      </c>
      <c r="C15" s="248">
        <v>331</v>
      </c>
      <c r="D15" s="249">
        <v>331</v>
      </c>
      <c r="E15" s="249">
        <v>331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18" s="251" customFormat="1" ht="19.5" customHeight="1">
      <c r="A16" s="252" t="s">
        <v>564</v>
      </c>
      <c r="B16" s="247">
        <v>3</v>
      </c>
      <c r="C16" s="248">
        <v>497</v>
      </c>
      <c r="D16" s="249">
        <v>497</v>
      </c>
      <c r="E16" s="249">
        <v>497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1:18" s="251" customFormat="1" ht="19.5" customHeight="1">
      <c r="A17" s="252" t="s">
        <v>565</v>
      </c>
      <c r="B17" s="247">
        <v>3</v>
      </c>
      <c r="C17" s="248">
        <v>497</v>
      </c>
      <c r="D17" s="249">
        <v>497</v>
      </c>
      <c r="E17" s="249">
        <v>497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s="251" customFormat="1" ht="19.5" customHeight="1">
      <c r="A18" s="252" t="s">
        <v>566</v>
      </c>
      <c r="B18" s="247">
        <v>5</v>
      </c>
      <c r="C18" s="248">
        <v>828</v>
      </c>
      <c r="D18" s="249">
        <v>828</v>
      </c>
      <c r="E18" s="249">
        <v>828</v>
      </c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s="251" customFormat="1" ht="19.5" customHeight="1">
      <c r="A19" s="252" t="s">
        <v>567</v>
      </c>
      <c r="B19" s="247">
        <v>1</v>
      </c>
      <c r="C19" s="248">
        <v>165</v>
      </c>
      <c r="D19" s="249">
        <v>165</v>
      </c>
      <c r="E19" s="249">
        <v>165</v>
      </c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s="484" customFormat="1" ht="30.75" customHeight="1">
      <c r="A20" s="485" t="s">
        <v>22</v>
      </c>
      <c r="B20" s="486">
        <f>SUM(B10:B19)</f>
        <v>22</v>
      </c>
      <c r="C20" s="487">
        <f>SUM(C19,C18,C17,C16,C15,C14,C13,C12,C11,C10)</f>
        <v>3643</v>
      </c>
      <c r="D20" s="488">
        <f>SUM(D19,D18,D17,D16,D15,D14,D13,D12,D11,D10)</f>
        <v>3643</v>
      </c>
      <c r="E20" s="488">
        <f>SUM(E19,E18,E17,E16,E15,E14,E13,E12,E11,E10)</f>
        <v>3643</v>
      </c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</row>
    <row r="21" spans="3:5" ht="12.75">
      <c r="C21" s="253"/>
      <c r="D21" s="253"/>
      <c r="E21" s="253"/>
    </row>
    <row r="24" spans="2:18" s="239" customFormat="1" ht="12.75">
      <c r="B24" s="240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</row>
  </sheetData>
  <sheetProtection password="EE36" sheet="1" formatCells="0" formatColumns="0" formatRows="0" insertColumns="0" insertRows="0" insertHyperlinks="0" deleteColumns="0" deleteRows="0" sort="0" autoFilter="0" pivotTables="0"/>
  <mergeCells count="8">
    <mergeCell ref="A1:E1"/>
    <mergeCell ref="A2:E2"/>
    <mergeCell ref="A3:E3"/>
    <mergeCell ref="A5:E5"/>
    <mergeCell ref="A7:A9"/>
    <mergeCell ref="B7:B9"/>
    <mergeCell ref="C7:C9"/>
    <mergeCell ref="D7:E8"/>
  </mergeCells>
  <printOptions horizontalCentered="1"/>
  <pageMargins left="0.3937007874015748" right="0.3937007874015748" top="0.75" bottom="0.3937007874015748" header="0.1968503937007874" footer="0.15748031496062992"/>
  <pageSetup horizontalDpi="600" verticalDpi="600" orientation="landscape" paperSize="9" scale="95" r:id="rId1"/>
  <headerFooter alignWithMargins="0">
    <oddHeader>&amp;L&amp;"Times New Roman,Normál"&amp;12Mezőgazdasági Szakigazgatási Hivatal Központ&amp;R3/c.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T419"/>
  <sheetViews>
    <sheetView zoomScale="75" zoomScaleNormal="75" zoomScalePageLayoutView="0" workbookViewId="0" topLeftCell="A1">
      <selection activeCell="M17" sqref="M17"/>
    </sheetView>
  </sheetViews>
  <sheetFormatPr defaultColWidth="8.00390625" defaultRowHeight="15"/>
  <cols>
    <col min="1" max="1" width="28.28125" style="254" bestFit="1" customWidth="1"/>
    <col min="2" max="2" width="6.28125" style="254" bestFit="1" customWidth="1"/>
    <col min="3" max="3" width="6.8515625" style="254" bestFit="1" customWidth="1"/>
    <col min="4" max="4" width="7.421875" style="254" bestFit="1" customWidth="1"/>
    <col min="5" max="5" width="7.57421875" style="254" bestFit="1" customWidth="1"/>
    <col min="6" max="6" width="5.140625" style="254" bestFit="1" customWidth="1"/>
    <col min="7" max="7" width="10.28125" style="254" bestFit="1" customWidth="1"/>
    <col min="8" max="8" width="8.7109375" style="254" bestFit="1" customWidth="1"/>
    <col min="9" max="9" width="5.140625" style="254" bestFit="1" customWidth="1"/>
    <col min="10" max="10" width="10.28125" style="254" bestFit="1" customWidth="1"/>
    <col min="11" max="11" width="7.57421875" style="254" bestFit="1" customWidth="1"/>
    <col min="12" max="12" width="5.140625" style="254" bestFit="1" customWidth="1"/>
    <col min="13" max="13" width="7.57421875" style="254" bestFit="1" customWidth="1"/>
    <col min="14" max="14" width="7.421875" style="254" bestFit="1" customWidth="1"/>
    <col min="15" max="15" width="7.57421875" style="254" bestFit="1" customWidth="1"/>
    <col min="16" max="16" width="5.421875" style="254" bestFit="1" customWidth="1"/>
    <col min="17" max="17" width="9.140625" style="254" bestFit="1" customWidth="1"/>
    <col min="18" max="18" width="10.28125" style="254" bestFit="1" customWidth="1"/>
    <col min="19" max="19" width="8.7109375" style="254" bestFit="1" customWidth="1"/>
    <col min="20" max="20" width="5.140625" style="254" bestFit="1" customWidth="1"/>
    <col min="21" max="16384" width="8.00390625" style="254" customWidth="1"/>
  </cols>
  <sheetData>
    <row r="3" spans="19:20" ht="13.5" thickBot="1">
      <c r="S3" s="255"/>
      <c r="T3" s="255"/>
    </row>
    <row r="4" spans="1:20" ht="19.5" customHeight="1" thickBot="1" thickTop="1">
      <c r="A4" s="603" t="s">
        <v>509</v>
      </c>
      <c r="B4" s="606" t="s">
        <v>568</v>
      </c>
      <c r="C4" s="606"/>
      <c r="D4" s="606"/>
      <c r="E4" s="606"/>
      <c r="F4" s="606"/>
      <c r="G4" s="606" t="s">
        <v>591</v>
      </c>
      <c r="H4" s="606"/>
      <c r="I4" s="606"/>
      <c r="J4" s="594" t="s">
        <v>592</v>
      </c>
      <c r="K4" s="595"/>
      <c r="L4" s="595"/>
      <c r="M4" s="596"/>
      <c r="N4" s="595"/>
      <c r="O4" s="595"/>
      <c r="P4" s="597"/>
      <c r="Q4" s="597"/>
      <c r="R4" s="594" t="s">
        <v>593</v>
      </c>
      <c r="S4" s="595"/>
      <c r="T4" s="607"/>
    </row>
    <row r="5" spans="1:20" ht="19.5" customHeight="1" thickTop="1">
      <c r="A5" s="604"/>
      <c r="B5" s="608" t="s">
        <v>569</v>
      </c>
      <c r="C5" s="609"/>
      <c r="D5" s="609"/>
      <c r="E5" s="609"/>
      <c r="F5" s="610" t="s">
        <v>570</v>
      </c>
      <c r="G5" s="592" t="s">
        <v>523</v>
      </c>
      <c r="H5" s="256" t="s">
        <v>571</v>
      </c>
      <c r="I5" s="257"/>
      <c r="J5" s="592" t="s">
        <v>523</v>
      </c>
      <c r="K5" s="256" t="s">
        <v>571</v>
      </c>
      <c r="L5" s="258"/>
      <c r="M5" s="256" t="s">
        <v>571</v>
      </c>
      <c r="N5" s="257"/>
      <c r="O5" s="257"/>
      <c r="P5" s="257"/>
      <c r="Q5" s="257"/>
      <c r="R5" s="592" t="s">
        <v>523</v>
      </c>
      <c r="S5" s="256" t="s">
        <v>571</v>
      </c>
      <c r="T5" s="259"/>
    </row>
    <row r="6" spans="1:20" ht="19.5" customHeight="1" thickBot="1">
      <c r="A6" s="605"/>
      <c r="B6" s="260" t="s">
        <v>572</v>
      </c>
      <c r="C6" s="261" t="s">
        <v>573</v>
      </c>
      <c r="D6" s="262" t="s">
        <v>574</v>
      </c>
      <c r="E6" s="261" t="s">
        <v>575</v>
      </c>
      <c r="F6" s="611"/>
      <c r="G6" s="593"/>
      <c r="H6" s="263" t="s">
        <v>569</v>
      </c>
      <c r="I6" s="264" t="s">
        <v>570</v>
      </c>
      <c r="J6" s="593"/>
      <c r="K6" s="263" t="s">
        <v>569</v>
      </c>
      <c r="L6" s="265" t="s">
        <v>570</v>
      </c>
      <c r="M6" s="266" t="s">
        <v>576</v>
      </c>
      <c r="N6" s="267" t="s">
        <v>577</v>
      </c>
      <c r="O6" s="267" t="s">
        <v>578</v>
      </c>
      <c r="P6" s="268" t="s">
        <v>579</v>
      </c>
      <c r="Q6" s="268" t="s">
        <v>523</v>
      </c>
      <c r="R6" s="593"/>
      <c r="S6" s="263" t="s">
        <v>569</v>
      </c>
      <c r="T6" s="264" t="s">
        <v>570</v>
      </c>
    </row>
    <row r="7" spans="1:20" s="280" customFormat="1" ht="19.5" customHeight="1" thickTop="1">
      <c r="A7" s="269" t="s">
        <v>2</v>
      </c>
      <c r="B7" s="270">
        <v>6</v>
      </c>
      <c r="C7" s="271">
        <v>6</v>
      </c>
      <c r="D7" s="272">
        <v>6</v>
      </c>
      <c r="E7" s="272">
        <v>4</v>
      </c>
      <c r="F7" s="273">
        <v>0</v>
      </c>
      <c r="G7" s="270">
        <v>16876</v>
      </c>
      <c r="H7" s="271">
        <v>16876</v>
      </c>
      <c r="I7" s="273">
        <v>0</v>
      </c>
      <c r="J7" s="270">
        <v>5081</v>
      </c>
      <c r="K7" s="271">
        <v>5081</v>
      </c>
      <c r="L7" s="273">
        <v>0</v>
      </c>
      <c r="M7" s="274">
        <v>3765</v>
      </c>
      <c r="N7" s="275">
        <v>784</v>
      </c>
      <c r="O7" s="275">
        <v>470</v>
      </c>
      <c r="P7" s="275">
        <v>62</v>
      </c>
      <c r="Q7" s="276">
        <v>5081</v>
      </c>
      <c r="R7" s="277">
        <v>21957</v>
      </c>
      <c r="S7" s="278">
        <v>21957</v>
      </c>
      <c r="T7" s="279">
        <v>0</v>
      </c>
    </row>
    <row r="8" spans="1:20" s="280" customFormat="1" ht="19.5" customHeight="1">
      <c r="A8" s="281" t="s">
        <v>3</v>
      </c>
      <c r="B8" s="282">
        <v>5</v>
      </c>
      <c r="C8" s="283">
        <v>5</v>
      </c>
      <c r="D8" s="284">
        <v>4</v>
      </c>
      <c r="E8" s="284">
        <v>4</v>
      </c>
      <c r="F8" s="285">
        <v>0</v>
      </c>
      <c r="G8" s="282">
        <v>10300</v>
      </c>
      <c r="H8" s="283">
        <v>10300</v>
      </c>
      <c r="I8" s="286">
        <v>0</v>
      </c>
      <c r="J8" s="282">
        <v>3288</v>
      </c>
      <c r="K8" s="283">
        <v>3288</v>
      </c>
      <c r="L8" s="286">
        <v>0</v>
      </c>
      <c r="M8" s="287">
        <v>2427</v>
      </c>
      <c r="N8" s="288">
        <v>506</v>
      </c>
      <c r="O8" s="288">
        <v>304</v>
      </c>
      <c r="P8" s="288">
        <v>51</v>
      </c>
      <c r="Q8" s="289">
        <v>3288</v>
      </c>
      <c r="R8" s="290">
        <v>13588</v>
      </c>
      <c r="S8" s="291">
        <v>13588</v>
      </c>
      <c r="T8" s="292">
        <v>0</v>
      </c>
    </row>
    <row r="9" spans="1:20" s="280" customFormat="1" ht="19.5" customHeight="1">
      <c r="A9" s="293" t="s">
        <v>4</v>
      </c>
      <c r="B9" s="282">
        <v>7</v>
      </c>
      <c r="C9" s="283">
        <v>5</v>
      </c>
      <c r="D9" s="284">
        <v>5</v>
      </c>
      <c r="E9" s="284">
        <v>5</v>
      </c>
      <c r="F9" s="285">
        <v>0</v>
      </c>
      <c r="G9" s="282">
        <v>11786</v>
      </c>
      <c r="H9" s="283">
        <v>11786</v>
      </c>
      <c r="I9" s="286">
        <v>0</v>
      </c>
      <c r="J9" s="282">
        <v>3577</v>
      </c>
      <c r="K9" s="283">
        <v>3577</v>
      </c>
      <c r="L9" s="286">
        <v>0</v>
      </c>
      <c r="M9" s="287">
        <v>2637</v>
      </c>
      <c r="N9" s="288">
        <v>547</v>
      </c>
      <c r="O9" s="288">
        <v>330</v>
      </c>
      <c r="P9" s="288">
        <v>63</v>
      </c>
      <c r="Q9" s="289">
        <v>3577</v>
      </c>
      <c r="R9" s="290">
        <v>15363</v>
      </c>
      <c r="S9" s="291">
        <v>15363</v>
      </c>
      <c r="T9" s="292">
        <v>0</v>
      </c>
    </row>
    <row r="10" spans="1:20" s="294" customFormat="1" ht="19.5" customHeight="1">
      <c r="A10" s="293" t="s">
        <v>5</v>
      </c>
      <c r="B10" s="282">
        <v>1</v>
      </c>
      <c r="C10" s="283">
        <v>1</v>
      </c>
      <c r="D10" s="284">
        <v>0</v>
      </c>
      <c r="E10" s="284">
        <v>0</v>
      </c>
      <c r="F10" s="285">
        <v>0</v>
      </c>
      <c r="G10" s="282">
        <v>1789</v>
      </c>
      <c r="H10" s="283">
        <v>1789</v>
      </c>
      <c r="I10" s="286">
        <v>0</v>
      </c>
      <c r="J10" s="282">
        <v>575</v>
      </c>
      <c r="K10" s="283">
        <v>575</v>
      </c>
      <c r="L10" s="286">
        <v>0</v>
      </c>
      <c r="M10" s="287">
        <v>429</v>
      </c>
      <c r="N10" s="288">
        <v>68</v>
      </c>
      <c r="O10" s="288">
        <v>75</v>
      </c>
      <c r="P10" s="288">
        <v>3</v>
      </c>
      <c r="Q10" s="289">
        <v>575</v>
      </c>
      <c r="R10" s="290">
        <v>2364</v>
      </c>
      <c r="S10" s="291">
        <v>2364</v>
      </c>
      <c r="T10" s="292">
        <v>0</v>
      </c>
    </row>
    <row r="11" spans="1:20" s="294" customFormat="1" ht="19.5" customHeight="1">
      <c r="A11" s="293" t="s">
        <v>6</v>
      </c>
      <c r="B11" s="282">
        <v>5</v>
      </c>
      <c r="C11" s="283">
        <v>5</v>
      </c>
      <c r="D11" s="284">
        <v>4</v>
      </c>
      <c r="E11" s="284">
        <v>4</v>
      </c>
      <c r="F11" s="285">
        <v>0</v>
      </c>
      <c r="G11" s="282">
        <v>7660</v>
      </c>
      <c r="H11" s="283">
        <v>7660</v>
      </c>
      <c r="I11" s="286">
        <v>0</v>
      </c>
      <c r="J11" s="282">
        <v>2441</v>
      </c>
      <c r="K11" s="283">
        <v>2441</v>
      </c>
      <c r="L11" s="286">
        <v>0</v>
      </c>
      <c r="M11" s="287">
        <v>1793</v>
      </c>
      <c r="N11" s="288">
        <v>372</v>
      </c>
      <c r="O11" s="288">
        <v>224</v>
      </c>
      <c r="P11" s="288">
        <v>52</v>
      </c>
      <c r="Q11" s="289">
        <v>2441</v>
      </c>
      <c r="R11" s="290">
        <v>10101</v>
      </c>
      <c r="S11" s="291">
        <v>10101</v>
      </c>
      <c r="T11" s="292">
        <v>0</v>
      </c>
    </row>
    <row r="12" spans="1:20" s="280" customFormat="1" ht="19.5" customHeight="1">
      <c r="A12" s="281" t="s">
        <v>7</v>
      </c>
      <c r="B12" s="282">
        <v>2</v>
      </c>
      <c r="C12" s="283">
        <v>1</v>
      </c>
      <c r="D12" s="284">
        <v>1</v>
      </c>
      <c r="E12" s="284">
        <v>1</v>
      </c>
      <c r="F12" s="285">
        <v>0</v>
      </c>
      <c r="G12" s="282">
        <v>3479</v>
      </c>
      <c r="H12" s="283">
        <v>3479</v>
      </c>
      <c r="I12" s="286">
        <v>0</v>
      </c>
      <c r="J12" s="282">
        <v>1118</v>
      </c>
      <c r="K12" s="283">
        <v>1118</v>
      </c>
      <c r="L12" s="286">
        <v>0</v>
      </c>
      <c r="M12" s="287">
        <v>828</v>
      </c>
      <c r="N12" s="288">
        <v>172</v>
      </c>
      <c r="O12" s="288">
        <v>104</v>
      </c>
      <c r="P12" s="288">
        <v>14</v>
      </c>
      <c r="Q12" s="289">
        <v>1118</v>
      </c>
      <c r="R12" s="290">
        <v>4597</v>
      </c>
      <c r="S12" s="291">
        <v>4597</v>
      </c>
      <c r="T12" s="292">
        <v>0</v>
      </c>
    </row>
    <row r="13" spans="1:20" s="280" customFormat="1" ht="19.5" customHeight="1">
      <c r="A13" s="281" t="s">
        <v>8</v>
      </c>
      <c r="B13" s="282">
        <v>0</v>
      </c>
      <c r="C13" s="283">
        <v>0</v>
      </c>
      <c r="D13" s="284">
        <v>0</v>
      </c>
      <c r="E13" s="284">
        <v>0</v>
      </c>
      <c r="F13" s="285">
        <v>0</v>
      </c>
      <c r="G13" s="282">
        <v>0</v>
      </c>
      <c r="H13" s="283">
        <v>0</v>
      </c>
      <c r="I13" s="286">
        <v>0</v>
      </c>
      <c r="J13" s="282">
        <v>0</v>
      </c>
      <c r="K13" s="283">
        <v>0</v>
      </c>
      <c r="L13" s="286">
        <v>0</v>
      </c>
      <c r="M13" s="287">
        <v>0</v>
      </c>
      <c r="N13" s="288">
        <v>0</v>
      </c>
      <c r="O13" s="288">
        <v>0</v>
      </c>
      <c r="P13" s="288">
        <v>0</v>
      </c>
      <c r="Q13" s="289">
        <v>0</v>
      </c>
      <c r="R13" s="290">
        <v>0</v>
      </c>
      <c r="S13" s="291">
        <v>0</v>
      </c>
      <c r="T13" s="292">
        <v>0</v>
      </c>
    </row>
    <row r="14" spans="1:20" s="280" customFormat="1" ht="19.5" customHeight="1">
      <c r="A14" s="281" t="s">
        <v>9</v>
      </c>
      <c r="B14" s="282">
        <v>4</v>
      </c>
      <c r="C14" s="283">
        <v>2</v>
      </c>
      <c r="D14" s="284">
        <v>2</v>
      </c>
      <c r="E14" s="284">
        <v>2</v>
      </c>
      <c r="F14" s="285">
        <v>0</v>
      </c>
      <c r="G14" s="282">
        <v>4201</v>
      </c>
      <c r="H14" s="283">
        <v>4201</v>
      </c>
      <c r="I14" s="286">
        <v>0</v>
      </c>
      <c r="J14" s="282">
        <v>1367</v>
      </c>
      <c r="K14" s="283">
        <v>1367</v>
      </c>
      <c r="L14" s="286">
        <v>0</v>
      </c>
      <c r="M14" s="287">
        <v>1008</v>
      </c>
      <c r="N14" s="288">
        <v>211</v>
      </c>
      <c r="O14" s="288">
        <v>126</v>
      </c>
      <c r="P14" s="288">
        <v>22</v>
      </c>
      <c r="Q14" s="289">
        <v>1367</v>
      </c>
      <c r="R14" s="290">
        <v>5568</v>
      </c>
      <c r="S14" s="291">
        <v>5568</v>
      </c>
      <c r="T14" s="292">
        <v>0</v>
      </c>
    </row>
    <row r="15" spans="1:20" s="280" customFormat="1" ht="19.5" customHeight="1">
      <c r="A15" s="293" t="s">
        <v>10</v>
      </c>
      <c r="B15" s="282">
        <v>12</v>
      </c>
      <c r="C15" s="283">
        <v>12</v>
      </c>
      <c r="D15" s="284">
        <v>12</v>
      </c>
      <c r="E15" s="284">
        <v>10</v>
      </c>
      <c r="F15" s="285">
        <v>0</v>
      </c>
      <c r="G15" s="282">
        <v>23322</v>
      </c>
      <c r="H15" s="283">
        <v>23322</v>
      </c>
      <c r="I15" s="286">
        <v>0</v>
      </c>
      <c r="J15" s="282">
        <v>7488</v>
      </c>
      <c r="K15" s="283">
        <v>7488</v>
      </c>
      <c r="L15" s="286">
        <v>0</v>
      </c>
      <c r="M15" s="287">
        <v>5517</v>
      </c>
      <c r="N15" s="288">
        <v>1149</v>
      </c>
      <c r="O15" s="288">
        <v>690</v>
      </c>
      <c r="P15" s="288">
        <v>132</v>
      </c>
      <c r="Q15" s="289">
        <v>7488</v>
      </c>
      <c r="R15" s="290">
        <v>30810</v>
      </c>
      <c r="S15" s="291">
        <v>30810</v>
      </c>
      <c r="T15" s="292">
        <v>0</v>
      </c>
    </row>
    <row r="16" spans="1:20" s="280" customFormat="1" ht="19.5" customHeight="1">
      <c r="A16" s="281" t="s">
        <v>11</v>
      </c>
      <c r="B16" s="282">
        <v>3</v>
      </c>
      <c r="C16" s="283">
        <v>3</v>
      </c>
      <c r="D16" s="284">
        <v>3</v>
      </c>
      <c r="E16" s="284">
        <v>1</v>
      </c>
      <c r="F16" s="285">
        <v>0</v>
      </c>
      <c r="G16" s="282">
        <v>5000</v>
      </c>
      <c r="H16" s="283">
        <v>5000</v>
      </c>
      <c r="I16" s="286">
        <v>0</v>
      </c>
      <c r="J16" s="282">
        <v>1586</v>
      </c>
      <c r="K16" s="283">
        <v>1586</v>
      </c>
      <c r="L16" s="286">
        <v>0</v>
      </c>
      <c r="M16" s="287">
        <v>1170</v>
      </c>
      <c r="N16" s="288">
        <v>244</v>
      </c>
      <c r="O16" s="288">
        <v>146</v>
      </c>
      <c r="P16" s="288">
        <v>26</v>
      </c>
      <c r="Q16" s="289">
        <v>1586</v>
      </c>
      <c r="R16" s="290">
        <v>6586</v>
      </c>
      <c r="S16" s="291">
        <v>6586</v>
      </c>
      <c r="T16" s="292">
        <v>0</v>
      </c>
    </row>
    <row r="17" spans="1:20" s="280" customFormat="1" ht="19.5" customHeight="1">
      <c r="A17" s="293" t="s">
        <v>12</v>
      </c>
      <c r="B17" s="282">
        <v>1</v>
      </c>
      <c r="C17" s="283">
        <v>1</v>
      </c>
      <c r="D17" s="284">
        <v>1</v>
      </c>
      <c r="E17" s="284">
        <v>1</v>
      </c>
      <c r="F17" s="285">
        <v>0</v>
      </c>
      <c r="G17" s="282">
        <v>1282</v>
      </c>
      <c r="H17" s="283">
        <v>1282</v>
      </c>
      <c r="I17" s="286">
        <v>0</v>
      </c>
      <c r="J17" s="282">
        <v>408</v>
      </c>
      <c r="K17" s="283">
        <v>408</v>
      </c>
      <c r="L17" s="286">
        <v>0</v>
      </c>
      <c r="M17" s="287">
        <v>298</v>
      </c>
      <c r="N17" s="288">
        <v>62</v>
      </c>
      <c r="O17" s="288">
        <v>36</v>
      </c>
      <c r="P17" s="288">
        <v>12</v>
      </c>
      <c r="Q17" s="289">
        <v>408</v>
      </c>
      <c r="R17" s="290">
        <v>1690</v>
      </c>
      <c r="S17" s="291">
        <v>1690</v>
      </c>
      <c r="T17" s="292">
        <v>0</v>
      </c>
    </row>
    <row r="18" spans="1:20" s="294" customFormat="1" ht="19.5" customHeight="1">
      <c r="A18" s="293" t="s">
        <v>580</v>
      </c>
      <c r="B18" s="282">
        <v>8</v>
      </c>
      <c r="C18" s="283">
        <v>8</v>
      </c>
      <c r="D18" s="284">
        <v>8</v>
      </c>
      <c r="E18" s="284">
        <v>6</v>
      </c>
      <c r="F18" s="285">
        <v>0</v>
      </c>
      <c r="G18" s="282">
        <v>18739</v>
      </c>
      <c r="H18" s="283">
        <v>18739</v>
      </c>
      <c r="I18" s="286">
        <v>0</v>
      </c>
      <c r="J18" s="282">
        <v>5627</v>
      </c>
      <c r="K18" s="283">
        <v>5627</v>
      </c>
      <c r="L18" s="286">
        <v>0</v>
      </c>
      <c r="M18" s="287">
        <v>4009</v>
      </c>
      <c r="N18" s="288">
        <v>995</v>
      </c>
      <c r="O18" s="288">
        <v>517</v>
      </c>
      <c r="P18" s="288">
        <v>106</v>
      </c>
      <c r="Q18" s="289">
        <v>5627</v>
      </c>
      <c r="R18" s="290">
        <v>24366</v>
      </c>
      <c r="S18" s="291">
        <v>24366</v>
      </c>
      <c r="T18" s="292">
        <v>0</v>
      </c>
    </row>
    <row r="19" spans="1:20" s="280" customFormat="1" ht="19.5" customHeight="1">
      <c r="A19" s="281" t="s">
        <v>14</v>
      </c>
      <c r="B19" s="282">
        <v>2</v>
      </c>
      <c r="C19" s="283">
        <v>2</v>
      </c>
      <c r="D19" s="284">
        <v>2</v>
      </c>
      <c r="E19" s="284">
        <v>2</v>
      </c>
      <c r="F19" s="285">
        <v>0</v>
      </c>
      <c r="G19" s="282">
        <v>4184</v>
      </c>
      <c r="H19" s="283">
        <v>4184</v>
      </c>
      <c r="I19" s="286">
        <v>0</v>
      </c>
      <c r="J19" s="282">
        <v>1341</v>
      </c>
      <c r="K19" s="283">
        <v>1341</v>
      </c>
      <c r="L19" s="286">
        <v>0</v>
      </c>
      <c r="M19" s="287">
        <v>988</v>
      </c>
      <c r="N19" s="288">
        <v>205</v>
      </c>
      <c r="O19" s="288">
        <v>124</v>
      </c>
      <c r="P19" s="288">
        <v>24</v>
      </c>
      <c r="Q19" s="289">
        <v>1341</v>
      </c>
      <c r="R19" s="290">
        <v>5525</v>
      </c>
      <c r="S19" s="291">
        <v>5525</v>
      </c>
      <c r="T19" s="292">
        <v>0</v>
      </c>
    </row>
    <row r="20" spans="1:20" s="280" customFormat="1" ht="19.5" customHeight="1">
      <c r="A20" s="293" t="s">
        <v>15</v>
      </c>
      <c r="B20" s="282">
        <v>0</v>
      </c>
      <c r="C20" s="283">
        <v>0</v>
      </c>
      <c r="D20" s="284">
        <v>0</v>
      </c>
      <c r="E20" s="284">
        <v>0</v>
      </c>
      <c r="F20" s="285">
        <v>0</v>
      </c>
      <c r="G20" s="282">
        <v>0</v>
      </c>
      <c r="H20" s="283">
        <v>0</v>
      </c>
      <c r="I20" s="286">
        <v>0</v>
      </c>
      <c r="J20" s="282">
        <v>0</v>
      </c>
      <c r="K20" s="283">
        <v>0</v>
      </c>
      <c r="L20" s="286">
        <v>0</v>
      </c>
      <c r="M20" s="287">
        <v>0</v>
      </c>
      <c r="N20" s="288">
        <v>0</v>
      </c>
      <c r="O20" s="288">
        <v>0</v>
      </c>
      <c r="P20" s="288">
        <v>0</v>
      </c>
      <c r="Q20" s="289">
        <v>0</v>
      </c>
      <c r="R20" s="290">
        <v>0</v>
      </c>
      <c r="S20" s="291">
        <v>0</v>
      </c>
      <c r="T20" s="292">
        <v>0</v>
      </c>
    </row>
    <row r="21" spans="1:20" s="294" customFormat="1" ht="19.5" customHeight="1">
      <c r="A21" s="293" t="s">
        <v>16</v>
      </c>
      <c r="B21" s="282">
        <v>2</v>
      </c>
      <c r="C21" s="283">
        <v>1</v>
      </c>
      <c r="D21" s="284">
        <v>1</v>
      </c>
      <c r="E21" s="284">
        <v>1</v>
      </c>
      <c r="F21" s="285">
        <v>0</v>
      </c>
      <c r="G21" s="282">
        <v>1561</v>
      </c>
      <c r="H21" s="283">
        <v>1561</v>
      </c>
      <c r="I21" s="286">
        <v>0</v>
      </c>
      <c r="J21" s="295">
        <v>468</v>
      </c>
      <c r="K21" s="296">
        <v>468</v>
      </c>
      <c r="L21" s="297">
        <v>0</v>
      </c>
      <c r="M21" s="298">
        <v>311</v>
      </c>
      <c r="N21" s="299">
        <v>103</v>
      </c>
      <c r="O21" s="299">
        <v>43</v>
      </c>
      <c r="P21" s="299">
        <v>11</v>
      </c>
      <c r="Q21" s="300">
        <v>468</v>
      </c>
      <c r="R21" s="290">
        <v>2029</v>
      </c>
      <c r="S21" s="291">
        <v>2029</v>
      </c>
      <c r="T21" s="292">
        <v>0</v>
      </c>
    </row>
    <row r="22" spans="1:20" s="280" customFormat="1" ht="19.5" customHeight="1">
      <c r="A22" s="281" t="s">
        <v>17</v>
      </c>
      <c r="B22" s="282">
        <v>6</v>
      </c>
      <c r="C22" s="283">
        <v>6</v>
      </c>
      <c r="D22" s="284">
        <v>6</v>
      </c>
      <c r="E22" s="284">
        <v>4</v>
      </c>
      <c r="F22" s="285">
        <v>0</v>
      </c>
      <c r="G22" s="282">
        <v>9088</v>
      </c>
      <c r="H22" s="283">
        <v>9088</v>
      </c>
      <c r="I22" s="286">
        <v>0</v>
      </c>
      <c r="J22" s="295">
        <v>2920</v>
      </c>
      <c r="K22" s="296">
        <v>2920</v>
      </c>
      <c r="L22" s="297">
        <v>0</v>
      </c>
      <c r="M22" s="298">
        <v>2142</v>
      </c>
      <c r="N22" s="299">
        <v>446</v>
      </c>
      <c r="O22" s="299">
        <v>268</v>
      </c>
      <c r="P22" s="299">
        <v>64</v>
      </c>
      <c r="Q22" s="300">
        <v>2920</v>
      </c>
      <c r="R22" s="290">
        <v>12008</v>
      </c>
      <c r="S22" s="291">
        <v>12008</v>
      </c>
      <c r="T22" s="292">
        <v>0</v>
      </c>
    </row>
    <row r="23" spans="1:20" s="280" customFormat="1" ht="20.25" customHeight="1">
      <c r="A23" s="281" t="s">
        <v>18</v>
      </c>
      <c r="B23" s="282">
        <v>4</v>
      </c>
      <c r="C23" s="283">
        <v>3</v>
      </c>
      <c r="D23" s="284">
        <v>3</v>
      </c>
      <c r="E23" s="284">
        <v>3</v>
      </c>
      <c r="F23" s="285">
        <v>0</v>
      </c>
      <c r="G23" s="282">
        <v>6397</v>
      </c>
      <c r="H23" s="283">
        <v>6397</v>
      </c>
      <c r="I23" s="286">
        <v>0</v>
      </c>
      <c r="J23" s="295">
        <v>2037</v>
      </c>
      <c r="K23" s="296">
        <v>2037</v>
      </c>
      <c r="L23" s="297">
        <v>0</v>
      </c>
      <c r="M23" s="298">
        <v>1506</v>
      </c>
      <c r="N23" s="299">
        <v>314</v>
      </c>
      <c r="O23" s="299">
        <v>187</v>
      </c>
      <c r="P23" s="299">
        <v>30</v>
      </c>
      <c r="Q23" s="300">
        <v>2037</v>
      </c>
      <c r="R23" s="290">
        <v>8434</v>
      </c>
      <c r="S23" s="291">
        <v>8434</v>
      </c>
      <c r="T23" s="292">
        <v>0</v>
      </c>
    </row>
    <row r="24" spans="1:20" s="294" customFormat="1" ht="19.5" customHeight="1">
      <c r="A24" s="293" t="s">
        <v>19</v>
      </c>
      <c r="B24" s="282">
        <v>6</v>
      </c>
      <c r="C24" s="283">
        <v>6</v>
      </c>
      <c r="D24" s="284">
        <v>5</v>
      </c>
      <c r="E24" s="284">
        <v>3</v>
      </c>
      <c r="F24" s="285">
        <v>0</v>
      </c>
      <c r="G24" s="282">
        <v>14156</v>
      </c>
      <c r="H24" s="283">
        <v>14156</v>
      </c>
      <c r="I24" s="286">
        <v>0</v>
      </c>
      <c r="J24" s="295">
        <v>4533</v>
      </c>
      <c r="K24" s="296">
        <v>4533</v>
      </c>
      <c r="L24" s="297">
        <v>0</v>
      </c>
      <c r="M24" s="298">
        <v>3346</v>
      </c>
      <c r="N24" s="299">
        <v>698</v>
      </c>
      <c r="O24" s="299">
        <v>418</v>
      </c>
      <c r="P24" s="299">
        <v>71</v>
      </c>
      <c r="Q24" s="300">
        <v>4533</v>
      </c>
      <c r="R24" s="290">
        <v>18689</v>
      </c>
      <c r="S24" s="291">
        <v>18689</v>
      </c>
      <c r="T24" s="292">
        <v>0</v>
      </c>
    </row>
    <row r="25" spans="1:20" s="280" customFormat="1" ht="19.5" customHeight="1" thickBot="1">
      <c r="A25" s="301" t="s">
        <v>20</v>
      </c>
      <c r="B25" s="302">
        <v>2</v>
      </c>
      <c r="C25" s="303">
        <v>2</v>
      </c>
      <c r="D25" s="304">
        <v>1</v>
      </c>
      <c r="E25" s="304">
        <v>2</v>
      </c>
      <c r="F25" s="305">
        <v>0</v>
      </c>
      <c r="G25" s="306">
        <v>4595</v>
      </c>
      <c r="H25" s="307">
        <v>4595</v>
      </c>
      <c r="I25" s="308">
        <v>0</v>
      </c>
      <c r="J25" s="309">
        <v>1468</v>
      </c>
      <c r="K25" s="310">
        <v>1468</v>
      </c>
      <c r="L25" s="311">
        <v>0</v>
      </c>
      <c r="M25" s="312">
        <v>1089</v>
      </c>
      <c r="N25" s="313">
        <v>226</v>
      </c>
      <c r="O25" s="313">
        <v>135</v>
      </c>
      <c r="P25" s="313">
        <v>18</v>
      </c>
      <c r="Q25" s="314">
        <v>1468</v>
      </c>
      <c r="R25" s="315">
        <v>6063</v>
      </c>
      <c r="S25" s="316">
        <v>6063</v>
      </c>
      <c r="T25" s="317">
        <v>0</v>
      </c>
    </row>
    <row r="26" spans="1:20" s="333" customFormat="1" ht="19.5" customHeight="1" thickBot="1" thickTop="1">
      <c r="A26" s="318" t="s">
        <v>581</v>
      </c>
      <c r="B26" s="319">
        <v>76</v>
      </c>
      <c r="C26" s="320">
        <v>69</v>
      </c>
      <c r="D26" s="320">
        <v>64</v>
      </c>
      <c r="E26" s="320">
        <v>53</v>
      </c>
      <c r="F26" s="321">
        <v>0</v>
      </c>
      <c r="G26" s="322">
        <v>144415</v>
      </c>
      <c r="H26" s="320">
        <v>144415</v>
      </c>
      <c r="I26" s="323">
        <v>0</v>
      </c>
      <c r="J26" s="324">
        <v>45323</v>
      </c>
      <c r="K26" s="325">
        <v>45323</v>
      </c>
      <c r="L26" s="326">
        <v>0</v>
      </c>
      <c r="M26" s="327">
        <v>33263</v>
      </c>
      <c r="N26" s="328">
        <v>7102</v>
      </c>
      <c r="O26" s="328">
        <v>4197</v>
      </c>
      <c r="P26" s="328">
        <v>761</v>
      </c>
      <c r="Q26" s="329">
        <v>45323</v>
      </c>
      <c r="R26" s="330">
        <v>189738</v>
      </c>
      <c r="S26" s="331">
        <v>189738</v>
      </c>
      <c r="T26" s="332">
        <v>0</v>
      </c>
    </row>
    <row r="27" spans="1:20" s="349" customFormat="1" ht="19.5" customHeight="1" thickBot="1" thickTop="1">
      <c r="A27" s="334" t="s">
        <v>21</v>
      </c>
      <c r="B27" s="335">
        <v>18</v>
      </c>
      <c r="C27" s="271">
        <v>17</v>
      </c>
      <c r="D27" s="271">
        <v>16</v>
      </c>
      <c r="E27" s="271">
        <v>15</v>
      </c>
      <c r="F27" s="336">
        <v>0</v>
      </c>
      <c r="G27" s="337">
        <v>34432</v>
      </c>
      <c r="H27" s="338">
        <v>34432</v>
      </c>
      <c r="I27" s="339">
        <v>0</v>
      </c>
      <c r="J27" s="340">
        <v>11158</v>
      </c>
      <c r="K27" s="341">
        <v>11158</v>
      </c>
      <c r="L27" s="342">
        <v>0</v>
      </c>
      <c r="M27" s="343">
        <v>8226</v>
      </c>
      <c r="N27" s="344">
        <v>1714</v>
      </c>
      <c r="O27" s="344">
        <v>1029</v>
      </c>
      <c r="P27" s="344">
        <v>189</v>
      </c>
      <c r="Q27" s="345">
        <v>11158</v>
      </c>
      <c r="R27" s="346">
        <v>45590</v>
      </c>
      <c r="S27" s="347">
        <v>45590</v>
      </c>
      <c r="T27" s="348">
        <v>0</v>
      </c>
    </row>
    <row r="28" spans="1:20" s="333" customFormat="1" ht="19.5" customHeight="1" thickBot="1" thickTop="1">
      <c r="A28" s="350" t="s">
        <v>22</v>
      </c>
      <c r="B28" s="351">
        <v>94</v>
      </c>
      <c r="C28" s="325">
        <v>86</v>
      </c>
      <c r="D28" s="325">
        <v>80</v>
      </c>
      <c r="E28" s="325">
        <v>68</v>
      </c>
      <c r="F28" s="352">
        <v>0</v>
      </c>
      <c r="G28" s="322">
        <v>178847</v>
      </c>
      <c r="H28" s="320">
        <v>178847</v>
      </c>
      <c r="I28" s="323">
        <v>0</v>
      </c>
      <c r="J28" s="322">
        <v>56481</v>
      </c>
      <c r="K28" s="320">
        <v>56481</v>
      </c>
      <c r="L28" s="323">
        <v>0</v>
      </c>
      <c r="M28" s="353">
        <v>41489</v>
      </c>
      <c r="N28" s="354">
        <v>8816</v>
      </c>
      <c r="O28" s="354">
        <v>5226</v>
      </c>
      <c r="P28" s="354">
        <v>950</v>
      </c>
      <c r="Q28" s="355">
        <v>56481</v>
      </c>
      <c r="R28" s="330">
        <v>235328</v>
      </c>
      <c r="S28" s="331">
        <v>235328</v>
      </c>
      <c r="T28" s="332">
        <v>0</v>
      </c>
    </row>
    <row r="29" spans="7:20" ht="13.5" thickTop="1"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</row>
    <row r="30" spans="1:20" ht="13.5" thickBot="1">
      <c r="A30" s="254" t="s">
        <v>582</v>
      </c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</row>
    <row r="31" spans="1:20" s="361" customFormat="1" ht="13.5" thickTop="1">
      <c r="A31" s="598"/>
      <c r="B31" s="599"/>
      <c r="C31" s="599"/>
      <c r="D31" s="599"/>
      <c r="E31" s="599"/>
      <c r="F31" s="599"/>
      <c r="G31" s="600" t="s">
        <v>583</v>
      </c>
      <c r="H31" s="601"/>
      <c r="I31" s="602"/>
      <c r="J31" s="358" t="s">
        <v>584</v>
      </c>
      <c r="K31" s="359"/>
      <c r="L31" s="359"/>
      <c r="M31" s="357"/>
      <c r="N31" s="359"/>
      <c r="O31" s="359"/>
      <c r="P31" s="359"/>
      <c r="Q31" s="360"/>
      <c r="R31" s="359" t="s">
        <v>523</v>
      </c>
      <c r="S31" s="359"/>
      <c r="T31" s="360"/>
    </row>
    <row r="32" spans="1:20" ht="12.75">
      <c r="A32" s="362" t="s">
        <v>585</v>
      </c>
      <c r="B32" s="363"/>
      <c r="C32" s="363"/>
      <c r="D32" s="363"/>
      <c r="E32" s="363"/>
      <c r="F32" s="363"/>
      <c r="G32" s="364">
        <v>57935</v>
      </c>
      <c r="H32" s="365"/>
      <c r="I32" s="366"/>
      <c r="J32" s="364">
        <v>18335</v>
      </c>
      <c r="K32" s="367"/>
      <c r="L32" s="367"/>
      <c r="M32" s="367"/>
      <c r="N32" s="367"/>
      <c r="O32" s="367"/>
      <c r="P32" s="367"/>
      <c r="Q32" s="368"/>
      <c r="R32" s="367">
        <v>76270</v>
      </c>
      <c r="S32" s="367"/>
      <c r="T32" s="368"/>
    </row>
    <row r="33" spans="1:20" ht="12.75">
      <c r="A33" s="369" t="s">
        <v>586</v>
      </c>
      <c r="B33" s="370"/>
      <c r="C33" s="370"/>
      <c r="D33" s="370"/>
      <c r="E33" s="370"/>
      <c r="F33" s="370"/>
      <c r="G33" s="371">
        <v>59282</v>
      </c>
      <c r="H33" s="372"/>
      <c r="I33" s="373"/>
      <c r="J33" s="371">
        <v>18757</v>
      </c>
      <c r="K33" s="372"/>
      <c r="L33" s="374"/>
      <c r="M33" s="372"/>
      <c r="N33" s="372"/>
      <c r="O33" s="372"/>
      <c r="P33" s="372"/>
      <c r="Q33" s="373"/>
      <c r="R33" s="372">
        <v>78039</v>
      </c>
      <c r="S33" s="372"/>
      <c r="T33" s="373"/>
    </row>
    <row r="34" spans="1:20" ht="12.75">
      <c r="A34" s="375" t="s">
        <v>587</v>
      </c>
      <c r="B34" s="370"/>
      <c r="C34" s="370"/>
      <c r="D34" s="370"/>
      <c r="E34" s="370"/>
      <c r="F34" s="370"/>
      <c r="G34" s="371">
        <v>26786</v>
      </c>
      <c r="H34" s="372"/>
      <c r="I34" s="373"/>
      <c r="J34" s="371">
        <v>8383</v>
      </c>
      <c r="K34" s="372"/>
      <c r="L34" s="372"/>
      <c r="M34" s="372"/>
      <c r="N34" s="372"/>
      <c r="O34" s="372"/>
      <c r="P34" s="372"/>
      <c r="Q34" s="373"/>
      <c r="R34" s="372">
        <v>35169</v>
      </c>
      <c r="S34" s="372"/>
      <c r="T34" s="373"/>
    </row>
    <row r="35" spans="1:20" ht="13.5" thickBot="1">
      <c r="A35" s="376" t="s">
        <v>588</v>
      </c>
      <c r="B35" s="377"/>
      <c r="C35" s="377"/>
      <c r="D35" s="377"/>
      <c r="E35" s="377"/>
      <c r="F35" s="377"/>
      <c r="G35" s="378">
        <v>34844</v>
      </c>
      <c r="H35" s="379"/>
      <c r="I35" s="380"/>
      <c r="J35" s="378">
        <v>11006</v>
      </c>
      <c r="K35" s="379"/>
      <c r="L35" s="379"/>
      <c r="M35" s="379"/>
      <c r="N35" s="379"/>
      <c r="O35" s="379"/>
      <c r="P35" s="379"/>
      <c r="Q35" s="380"/>
      <c r="R35" s="379">
        <v>45850</v>
      </c>
      <c r="S35" s="379"/>
      <c r="T35" s="380"/>
    </row>
    <row r="36" spans="1:20" s="386" customFormat="1" ht="18.75" customHeight="1" thickBot="1" thickTop="1">
      <c r="A36" s="381" t="s">
        <v>589</v>
      </c>
      <c r="B36" s="382"/>
      <c r="C36" s="382"/>
      <c r="D36" s="382"/>
      <c r="E36" s="382"/>
      <c r="F36" s="382"/>
      <c r="G36" s="383">
        <v>178847</v>
      </c>
      <c r="H36" s="384"/>
      <c r="I36" s="385"/>
      <c r="J36" s="383">
        <v>56481</v>
      </c>
      <c r="K36" s="384"/>
      <c r="L36" s="384"/>
      <c r="M36" s="384"/>
      <c r="N36" s="384"/>
      <c r="O36" s="384"/>
      <c r="P36" s="384"/>
      <c r="Q36" s="385"/>
      <c r="R36" s="384">
        <v>235328</v>
      </c>
      <c r="S36" s="384"/>
      <c r="T36" s="385"/>
    </row>
    <row r="37" spans="1:20" s="392" customFormat="1" ht="21" customHeight="1" thickBot="1" thickTop="1">
      <c r="A37" s="387" t="s">
        <v>590</v>
      </c>
      <c r="B37" s="388"/>
      <c r="C37" s="388"/>
      <c r="D37" s="388"/>
      <c r="E37" s="388"/>
      <c r="F37" s="388"/>
      <c r="G37" s="389">
        <f>G36-G28</f>
        <v>0</v>
      </c>
      <c r="H37" s="390"/>
      <c r="I37" s="391"/>
      <c r="J37" s="389">
        <f>J36-J28</f>
        <v>0</v>
      </c>
      <c r="K37" s="390"/>
      <c r="L37" s="390"/>
      <c r="M37" s="390"/>
      <c r="N37" s="390"/>
      <c r="O37" s="390"/>
      <c r="P37" s="390"/>
      <c r="Q37" s="391"/>
      <c r="R37" s="390">
        <f>SUM(G37,J37)</f>
        <v>0</v>
      </c>
      <c r="S37" s="390"/>
      <c r="T37" s="391"/>
    </row>
    <row r="38" spans="7:20" ht="13.5" thickTop="1"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</row>
    <row r="39" spans="7:20" ht="12.75"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</row>
    <row r="40" spans="7:20" ht="12.75"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</row>
    <row r="41" spans="7:20" ht="12.75"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</row>
    <row r="42" spans="7:20" ht="12.75"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</row>
    <row r="43" spans="7:20" ht="12.75"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</row>
    <row r="44" spans="7:20" ht="12.75"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</row>
    <row r="45" spans="7:20" ht="12.75"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</row>
    <row r="46" spans="7:20" ht="12.75"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</row>
    <row r="47" spans="7:20" ht="12.75"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</row>
    <row r="48" spans="7:20" ht="12.75"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</row>
    <row r="49" spans="7:20" ht="12.75"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</row>
    <row r="50" spans="7:20" ht="12.75"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</row>
    <row r="51" spans="7:20" ht="12.75"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</row>
    <row r="52" spans="7:20" ht="12.75"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</row>
    <row r="53" spans="7:20" ht="12.75"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</row>
    <row r="54" spans="7:20" ht="12.75"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</row>
    <row r="55" spans="7:20" ht="12.75"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</row>
    <row r="56" spans="7:20" ht="12.75"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</row>
    <row r="57" spans="7:20" ht="12.75"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</row>
    <row r="58" spans="7:20" ht="12.75"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</row>
    <row r="59" spans="7:20" ht="12.75"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</row>
    <row r="60" spans="7:20" ht="12.75"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</row>
    <row r="61" spans="7:20" ht="12.75"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</row>
    <row r="62" spans="7:20" ht="12.75"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</row>
    <row r="63" spans="7:20" ht="12.75"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</row>
    <row r="64" spans="7:20" ht="12.75"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</row>
    <row r="65" spans="7:20" ht="12.75"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</row>
    <row r="66" spans="7:20" ht="12.75"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</row>
    <row r="67" spans="7:20" ht="12.75"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</row>
    <row r="68" spans="7:20" ht="12.75"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</row>
    <row r="69" spans="7:20" ht="12.75"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</row>
    <row r="70" spans="7:20" ht="12.75"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</row>
    <row r="71" spans="7:20" ht="12.75"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</row>
    <row r="72" spans="7:20" ht="12.75"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</row>
    <row r="73" spans="7:20" ht="12.75"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</row>
    <row r="74" spans="7:20" ht="12.75"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</row>
    <row r="75" spans="7:20" ht="12.75"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</row>
    <row r="76" spans="7:20" ht="12.75"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</row>
    <row r="77" spans="7:20" ht="12.75"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</row>
    <row r="78" spans="7:20" ht="12.75"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</row>
    <row r="79" spans="7:20" ht="12.75"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</row>
    <row r="80" spans="7:20" ht="12.75"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</row>
    <row r="81" spans="7:20" ht="12.75"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</row>
    <row r="82" spans="7:20" ht="12.75"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</row>
    <row r="83" spans="7:20" ht="12.75"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</row>
    <row r="84" spans="7:20" ht="12.75"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</row>
    <row r="85" spans="7:20" ht="12.75"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</row>
    <row r="86" spans="7:20" ht="12.75"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</row>
    <row r="87" spans="7:20" ht="12.75"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</row>
    <row r="88" spans="7:20" ht="12.75"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</row>
    <row r="89" spans="7:20" ht="12.75"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</row>
    <row r="90" spans="7:20" ht="12.75"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</row>
    <row r="91" spans="7:20" ht="12.75"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</row>
    <row r="92" spans="7:20" ht="12.75"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</row>
    <row r="93" spans="7:20" ht="12.75"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6"/>
      <c r="S93" s="356"/>
      <c r="T93" s="356"/>
    </row>
    <row r="94" spans="7:20" ht="12.75"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</row>
    <row r="95" spans="7:20" ht="12.75"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  <c r="S95" s="356"/>
      <c r="T95" s="356"/>
    </row>
    <row r="96" spans="7:20" ht="12.75"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</row>
    <row r="97" spans="7:20" ht="12.75"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</row>
    <row r="98" spans="7:20" ht="12.75"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</row>
    <row r="99" spans="7:20" ht="12.75"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6"/>
    </row>
    <row r="100" spans="7:20" ht="12.75"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</row>
    <row r="101" spans="7:20" ht="12.75"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</row>
    <row r="102" spans="7:20" ht="12.75"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</row>
    <row r="103" spans="7:20" ht="12.75"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</row>
    <row r="104" spans="7:20" ht="12.75"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</row>
    <row r="105" spans="7:20" ht="12.75"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</row>
    <row r="106" spans="7:20" ht="12.75"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</row>
    <row r="107" spans="7:20" ht="12.75">
      <c r="G107" s="356"/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6"/>
    </row>
    <row r="108" spans="7:20" ht="12.75"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</row>
    <row r="109" spans="7:20" ht="12.75"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</row>
    <row r="110" spans="7:20" ht="12.75"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</row>
    <row r="111" spans="7:20" ht="12.75"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6"/>
    </row>
    <row r="112" spans="7:20" ht="12.75"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</row>
    <row r="113" spans="7:20" ht="12.75"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</row>
    <row r="114" spans="7:20" ht="12.75"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</row>
    <row r="115" spans="7:20" ht="12.75"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6"/>
    </row>
    <row r="116" spans="7:20" ht="12.75"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</row>
    <row r="117" spans="7:20" ht="12.75"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6"/>
    </row>
    <row r="118" spans="7:20" ht="12.75"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</row>
    <row r="119" spans="7:20" ht="12.75"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</row>
    <row r="120" spans="7:20" ht="12.75"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</row>
    <row r="121" spans="7:20" ht="12.75"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</row>
    <row r="122" spans="7:20" ht="12.75"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</row>
    <row r="123" spans="7:20" ht="12.75"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</row>
    <row r="124" spans="7:20" ht="12.75"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</row>
    <row r="125" spans="7:20" ht="12.75"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</row>
    <row r="126" spans="7:20" ht="12.75"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</row>
    <row r="127" spans="7:20" ht="12.75"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S127" s="356"/>
      <c r="T127" s="356"/>
    </row>
    <row r="128" spans="7:20" ht="12.75"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  <c r="T128" s="356"/>
    </row>
    <row r="129" spans="7:20" ht="12.75"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</row>
    <row r="130" spans="7:20" ht="12.75"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</row>
    <row r="131" spans="7:20" ht="12.75"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</row>
    <row r="132" spans="7:20" ht="12.75"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</row>
    <row r="133" spans="7:20" ht="12.75"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</row>
    <row r="134" spans="7:20" ht="12.75"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</row>
    <row r="135" spans="7:20" ht="12.75"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</row>
    <row r="136" spans="7:20" ht="12.75"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</row>
    <row r="137" spans="7:20" ht="12.75"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</row>
    <row r="138" spans="7:20" ht="12.75"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</row>
    <row r="139" spans="7:20" ht="12.75"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</row>
    <row r="140" spans="7:20" ht="12.75"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</row>
    <row r="141" spans="7:20" ht="12.75"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  <c r="S141" s="356"/>
      <c r="T141" s="356"/>
    </row>
    <row r="142" spans="7:20" ht="12.75"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  <c r="S142" s="356"/>
      <c r="T142" s="356"/>
    </row>
    <row r="143" spans="7:20" ht="12.75"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  <c r="S143" s="356"/>
      <c r="T143" s="356"/>
    </row>
    <row r="144" spans="7:20" ht="12.75"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</row>
    <row r="145" spans="7:20" ht="12.75"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</row>
    <row r="146" spans="7:20" ht="12.75"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</row>
    <row r="147" spans="7:20" ht="12.75"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  <c r="S147" s="356"/>
      <c r="T147" s="356"/>
    </row>
    <row r="148" spans="7:20" ht="12.75"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</row>
    <row r="149" spans="7:20" ht="12.75">
      <c r="G149" s="356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  <c r="S149" s="356"/>
      <c r="T149" s="356"/>
    </row>
    <row r="150" spans="7:20" ht="12.75"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</row>
    <row r="151" spans="7:20" ht="12.75"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  <c r="S151" s="356"/>
      <c r="T151" s="356"/>
    </row>
    <row r="152" spans="7:20" ht="12.75">
      <c r="G152" s="356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</row>
    <row r="153" spans="7:20" ht="12.75">
      <c r="G153" s="356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  <c r="S153" s="356"/>
      <c r="T153" s="356"/>
    </row>
    <row r="154" spans="7:20" ht="12.75"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  <c r="S154" s="356"/>
      <c r="T154" s="356"/>
    </row>
    <row r="155" spans="7:20" ht="12.75">
      <c r="G155" s="356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  <c r="S155" s="356"/>
      <c r="T155" s="356"/>
    </row>
    <row r="156" spans="7:20" ht="12.75"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</row>
    <row r="157" spans="7:20" ht="12.75">
      <c r="G157" s="356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  <c r="S157" s="356"/>
      <c r="T157" s="356"/>
    </row>
    <row r="158" spans="7:20" ht="12.75"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</row>
    <row r="159" spans="7:20" ht="12.75"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</row>
    <row r="160" spans="7:20" ht="12.75"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</row>
    <row r="161" spans="7:20" ht="12.75"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</row>
    <row r="162" spans="7:20" ht="12.75"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</row>
    <row r="163" spans="7:20" ht="12.75"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</row>
    <row r="164" spans="7:20" ht="12.75"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</row>
    <row r="165" spans="7:20" ht="12.75"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</row>
    <row r="166" spans="7:20" ht="12.75">
      <c r="G166" s="356"/>
      <c r="H166" s="356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</row>
    <row r="167" spans="7:20" ht="12.75">
      <c r="G167" s="356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</row>
    <row r="168" spans="7:20" ht="12.75"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</row>
    <row r="169" spans="7:20" ht="12.75">
      <c r="G169" s="356"/>
      <c r="H169" s="356"/>
      <c r="I169" s="356"/>
      <c r="J169" s="356"/>
      <c r="K169" s="356"/>
      <c r="L169" s="356"/>
      <c r="M169" s="356"/>
      <c r="N169" s="356"/>
      <c r="O169" s="356"/>
      <c r="P169" s="356"/>
      <c r="Q169" s="356"/>
      <c r="R169" s="356"/>
      <c r="S169" s="356"/>
      <c r="T169" s="356"/>
    </row>
    <row r="170" spans="7:20" ht="12.75"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</row>
    <row r="171" spans="7:20" ht="12.75"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</row>
    <row r="172" spans="7:20" ht="12.75"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</row>
    <row r="173" spans="7:20" ht="12.75"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  <c r="T173" s="356"/>
    </row>
    <row r="174" spans="7:20" ht="12.75">
      <c r="G174" s="356"/>
      <c r="H174" s="356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</row>
    <row r="175" spans="7:20" ht="12.75"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</row>
    <row r="176" spans="7:20" ht="12.75">
      <c r="G176" s="356"/>
      <c r="H176" s="356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</row>
    <row r="177" spans="7:20" ht="12.75"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</row>
    <row r="178" spans="7:20" ht="12.75">
      <c r="G178" s="356"/>
      <c r="H178" s="356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</row>
    <row r="179" spans="7:20" ht="12.75">
      <c r="G179" s="356"/>
      <c r="H179" s="356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</row>
    <row r="180" spans="7:20" ht="12.75"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</row>
    <row r="181" spans="7:20" ht="12.75">
      <c r="G181" s="356"/>
      <c r="H181" s="356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</row>
    <row r="182" spans="7:20" ht="12.75"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</row>
    <row r="183" spans="7:20" ht="12.75">
      <c r="G183" s="393"/>
      <c r="H183" s="393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</row>
    <row r="184" spans="7:20" ht="12.75"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</row>
    <row r="185" spans="7:20" ht="12.75"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</row>
    <row r="186" spans="7:20" ht="12.75">
      <c r="G186" s="393"/>
      <c r="H186" s="393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</row>
    <row r="187" spans="7:20" ht="12.75"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</row>
    <row r="188" spans="7:20" ht="12.75"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</row>
    <row r="189" spans="7:20" ht="12.75"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</row>
    <row r="190" spans="7:20" ht="12.75"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</row>
    <row r="191" spans="7:20" ht="12.75">
      <c r="G191" s="393"/>
      <c r="H191" s="393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</row>
    <row r="192" spans="7:20" ht="12.75"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</row>
    <row r="193" spans="7:20" ht="12.75"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</row>
    <row r="194" spans="7:20" ht="12.75"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</row>
    <row r="195" spans="7:20" ht="12.75"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</row>
    <row r="196" spans="7:20" ht="12.75"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</row>
    <row r="197" spans="7:20" ht="12.75">
      <c r="G197" s="393"/>
      <c r="H197" s="393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</row>
    <row r="198" spans="7:20" ht="12.75">
      <c r="G198" s="393"/>
      <c r="H198" s="393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</row>
    <row r="199" spans="7:20" ht="12.75"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</row>
    <row r="200" spans="7:20" ht="12.75">
      <c r="G200" s="393"/>
      <c r="H200" s="393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</row>
    <row r="201" spans="7:20" ht="12.75">
      <c r="G201" s="393"/>
      <c r="H201" s="393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</row>
    <row r="202" spans="7:20" ht="12.75"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</row>
    <row r="203" spans="7:20" ht="12.75"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</row>
    <row r="204" spans="7:20" ht="12.75"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</row>
    <row r="205" spans="7:20" ht="12.75">
      <c r="G205" s="393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</row>
    <row r="206" spans="7:20" ht="12.75"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</row>
    <row r="207" spans="7:20" ht="12.75">
      <c r="G207" s="393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</row>
    <row r="208" spans="7:20" ht="12.75"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</row>
    <row r="209" spans="7:20" ht="12.75">
      <c r="G209" s="393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</row>
    <row r="210" spans="7:20" ht="12.75">
      <c r="G210" s="393"/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</row>
    <row r="211" spans="7:20" ht="12.75">
      <c r="G211" s="393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</row>
    <row r="212" spans="7:20" ht="12.75">
      <c r="G212" s="393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</row>
    <row r="213" spans="7:20" ht="12.75">
      <c r="G213" s="393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</row>
    <row r="214" spans="7:20" ht="12.75">
      <c r="G214" s="393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</row>
    <row r="215" spans="7:20" ht="12.75">
      <c r="G215" s="393"/>
      <c r="H215" s="393"/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</row>
    <row r="216" spans="7:20" ht="12.75">
      <c r="G216" s="393"/>
      <c r="H216" s="393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</row>
    <row r="217" spans="7:20" ht="12.75">
      <c r="G217" s="393"/>
      <c r="H217" s="393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</row>
    <row r="218" spans="7:20" ht="12.75"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</row>
    <row r="219" spans="7:20" ht="12.75">
      <c r="G219" s="393"/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</row>
    <row r="220" spans="7:20" ht="12.75">
      <c r="G220" s="393"/>
      <c r="H220" s="393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</row>
    <row r="221" spans="7:20" ht="12.75"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</row>
    <row r="222" spans="7:20" ht="12.75">
      <c r="G222" s="393"/>
      <c r="H222" s="393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</row>
    <row r="223" spans="7:20" ht="12.75">
      <c r="G223" s="393"/>
      <c r="H223" s="393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</row>
    <row r="224" spans="7:20" ht="12.75"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</row>
    <row r="225" spans="7:20" ht="12.75">
      <c r="G225" s="393"/>
      <c r="H225" s="393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</row>
    <row r="226" spans="7:20" ht="12.75"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</row>
    <row r="227" spans="7:20" ht="12.75">
      <c r="G227" s="393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</row>
    <row r="228" spans="7:20" ht="12.75">
      <c r="G228" s="393"/>
      <c r="H228" s="393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</row>
    <row r="229" spans="7:20" ht="12.75">
      <c r="G229" s="393"/>
      <c r="H229" s="393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</row>
    <row r="230" spans="7:20" ht="12.75">
      <c r="G230" s="393"/>
      <c r="H230" s="393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</row>
    <row r="231" spans="7:20" ht="12.75">
      <c r="G231" s="393"/>
      <c r="H231" s="393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</row>
    <row r="232" spans="7:20" ht="12.75"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</row>
    <row r="233" spans="7:20" ht="12.75">
      <c r="G233" s="393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</row>
    <row r="234" spans="7:20" ht="12.75">
      <c r="G234" s="393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</row>
    <row r="235" spans="7:20" ht="12.75"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</row>
    <row r="236" spans="7:20" ht="12.75">
      <c r="G236" s="393"/>
      <c r="H236" s="393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</row>
    <row r="237" spans="7:20" ht="12.75">
      <c r="G237" s="393"/>
      <c r="H237" s="393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</row>
    <row r="238" spans="7:20" ht="12.75">
      <c r="G238" s="393"/>
      <c r="H238" s="393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</row>
    <row r="239" spans="7:20" ht="12.75">
      <c r="G239" s="393"/>
      <c r="H239" s="393"/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</row>
    <row r="240" spans="7:20" ht="12.75"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</row>
    <row r="241" spans="7:20" ht="12.75">
      <c r="G241" s="393"/>
      <c r="H241" s="393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</row>
    <row r="242" spans="7:20" ht="12.75">
      <c r="G242" s="393"/>
      <c r="H242" s="393"/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</row>
    <row r="243" spans="7:20" ht="12.75"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</row>
    <row r="244" spans="7:20" ht="12.75">
      <c r="G244" s="393"/>
      <c r="H244" s="393"/>
      <c r="I244" s="393"/>
      <c r="J244" s="393"/>
      <c r="K244" s="393"/>
      <c r="L244" s="393"/>
      <c r="M244" s="393"/>
      <c r="N244" s="393"/>
      <c r="O244" s="393"/>
      <c r="P244" s="393"/>
      <c r="Q244" s="393"/>
      <c r="R244" s="393"/>
      <c r="S244" s="393"/>
      <c r="T244" s="393"/>
    </row>
    <row r="245" spans="7:20" ht="12.75">
      <c r="G245" s="393"/>
      <c r="H245" s="393"/>
      <c r="I245" s="393"/>
      <c r="J245" s="393"/>
      <c r="K245" s="393"/>
      <c r="L245" s="393"/>
      <c r="M245" s="393"/>
      <c r="N245" s="393"/>
      <c r="O245" s="393"/>
      <c r="P245" s="393"/>
      <c r="Q245" s="393"/>
      <c r="R245" s="393"/>
      <c r="S245" s="393"/>
      <c r="T245" s="393"/>
    </row>
    <row r="246" spans="7:20" ht="12.75">
      <c r="G246" s="393"/>
      <c r="H246" s="393"/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</row>
    <row r="247" spans="7:20" ht="12.75">
      <c r="G247" s="393"/>
      <c r="H247" s="393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</row>
    <row r="248" spans="7:20" ht="12.75">
      <c r="G248" s="393"/>
      <c r="H248" s="393"/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</row>
    <row r="249" spans="7:20" ht="12.75">
      <c r="G249" s="393"/>
      <c r="H249" s="393"/>
      <c r="I249" s="393"/>
      <c r="J249" s="393"/>
      <c r="K249" s="393"/>
      <c r="L249" s="393"/>
      <c r="M249" s="393"/>
      <c r="N249" s="393"/>
      <c r="O249" s="393"/>
      <c r="P249" s="393"/>
      <c r="Q249" s="393"/>
      <c r="R249" s="393"/>
      <c r="S249" s="393"/>
      <c r="T249" s="393"/>
    </row>
    <row r="250" spans="7:20" ht="12.75">
      <c r="G250" s="393"/>
      <c r="H250" s="393"/>
      <c r="I250" s="393"/>
      <c r="J250" s="393"/>
      <c r="K250" s="393"/>
      <c r="L250" s="393"/>
      <c r="M250" s="393"/>
      <c r="N250" s="393"/>
      <c r="O250" s="393"/>
      <c r="P250" s="393"/>
      <c r="Q250" s="393"/>
      <c r="R250" s="393"/>
      <c r="S250" s="393"/>
      <c r="T250" s="393"/>
    </row>
    <row r="251" spans="7:20" ht="12.75">
      <c r="G251" s="393"/>
      <c r="H251" s="393"/>
      <c r="I251" s="393"/>
      <c r="J251" s="393"/>
      <c r="K251" s="393"/>
      <c r="L251" s="393"/>
      <c r="M251" s="393"/>
      <c r="N251" s="393"/>
      <c r="O251" s="393"/>
      <c r="P251" s="393"/>
      <c r="Q251" s="393"/>
      <c r="R251" s="393"/>
      <c r="S251" s="393"/>
      <c r="T251" s="393"/>
    </row>
    <row r="252" spans="7:20" ht="12.75">
      <c r="G252" s="393"/>
      <c r="H252" s="393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</row>
    <row r="253" spans="7:20" ht="12.75">
      <c r="G253" s="393"/>
      <c r="H253" s="393"/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  <c r="T253" s="393"/>
    </row>
    <row r="254" spans="7:20" ht="12.75">
      <c r="G254" s="393"/>
      <c r="H254" s="393"/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</row>
    <row r="255" spans="7:20" ht="12.75">
      <c r="G255" s="393"/>
      <c r="H255" s="393"/>
      <c r="I255" s="393"/>
      <c r="J255" s="393"/>
      <c r="K255" s="393"/>
      <c r="L255" s="393"/>
      <c r="M255" s="393"/>
      <c r="N255" s="393"/>
      <c r="O255" s="393"/>
      <c r="P255" s="393"/>
      <c r="Q255" s="393"/>
      <c r="R255" s="393"/>
      <c r="S255" s="393"/>
      <c r="T255" s="393"/>
    </row>
    <row r="256" spans="7:20" ht="12.75">
      <c r="G256" s="393"/>
      <c r="H256" s="393"/>
      <c r="I256" s="393"/>
      <c r="J256" s="393"/>
      <c r="K256" s="393"/>
      <c r="L256" s="393"/>
      <c r="M256" s="393"/>
      <c r="N256" s="393"/>
      <c r="O256" s="393"/>
      <c r="P256" s="393"/>
      <c r="Q256" s="393"/>
      <c r="R256" s="393"/>
      <c r="S256" s="393"/>
      <c r="T256" s="393"/>
    </row>
    <row r="257" spans="7:20" ht="12.75">
      <c r="G257" s="393"/>
      <c r="H257" s="393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</row>
    <row r="258" spans="7:20" ht="12.75">
      <c r="G258" s="393"/>
      <c r="H258" s="393"/>
      <c r="I258" s="393"/>
      <c r="J258" s="393"/>
      <c r="K258" s="393"/>
      <c r="L258" s="393"/>
      <c r="M258" s="393"/>
      <c r="N258" s="393"/>
      <c r="O258" s="393"/>
      <c r="P258" s="393"/>
      <c r="Q258" s="393"/>
      <c r="R258" s="393"/>
      <c r="S258" s="393"/>
      <c r="T258" s="393"/>
    </row>
    <row r="259" spans="7:20" ht="12.75">
      <c r="G259" s="393"/>
      <c r="H259" s="393"/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  <c r="T259" s="393"/>
    </row>
    <row r="260" spans="7:20" ht="12.75">
      <c r="G260" s="393"/>
      <c r="H260" s="393"/>
      <c r="I260" s="393"/>
      <c r="J260" s="393"/>
      <c r="K260" s="393"/>
      <c r="L260" s="393"/>
      <c r="M260" s="393"/>
      <c r="N260" s="393"/>
      <c r="O260" s="393"/>
      <c r="P260" s="393"/>
      <c r="Q260" s="393"/>
      <c r="R260" s="393"/>
      <c r="S260" s="393"/>
      <c r="T260" s="393"/>
    </row>
    <row r="261" spans="7:20" ht="12.75">
      <c r="G261" s="393"/>
      <c r="H261" s="393"/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</row>
    <row r="262" spans="7:20" ht="12.75">
      <c r="G262" s="393"/>
      <c r="H262" s="393"/>
      <c r="I262" s="393"/>
      <c r="J262" s="393"/>
      <c r="K262" s="393"/>
      <c r="L262" s="393"/>
      <c r="M262" s="393"/>
      <c r="N262" s="393"/>
      <c r="O262" s="393"/>
      <c r="P262" s="393"/>
      <c r="Q262" s="393"/>
      <c r="R262" s="393"/>
      <c r="S262" s="393"/>
      <c r="T262" s="393"/>
    </row>
    <row r="263" spans="7:20" ht="12.75">
      <c r="G263" s="393"/>
      <c r="H263" s="393"/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</row>
    <row r="264" spans="7:20" ht="12.75">
      <c r="G264" s="393"/>
      <c r="H264" s="393"/>
      <c r="I264" s="393"/>
      <c r="J264" s="393"/>
      <c r="K264" s="393"/>
      <c r="L264" s="393"/>
      <c r="M264" s="393"/>
      <c r="N264" s="393"/>
      <c r="O264" s="393"/>
      <c r="P264" s="393"/>
      <c r="Q264" s="393"/>
      <c r="R264" s="393"/>
      <c r="S264" s="393"/>
      <c r="T264" s="393"/>
    </row>
    <row r="265" spans="7:20" ht="12.75">
      <c r="G265" s="393"/>
      <c r="H265" s="393"/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</row>
    <row r="266" spans="7:20" ht="12.75">
      <c r="G266" s="393"/>
      <c r="H266" s="393"/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</row>
    <row r="267" spans="7:20" ht="12.75">
      <c r="G267" s="393"/>
      <c r="H267" s="393"/>
      <c r="I267" s="393"/>
      <c r="J267" s="393"/>
      <c r="K267" s="393"/>
      <c r="L267" s="393"/>
      <c r="M267" s="393"/>
      <c r="N267" s="393"/>
      <c r="O267" s="393"/>
      <c r="P267" s="393"/>
      <c r="Q267" s="393"/>
      <c r="R267" s="393"/>
      <c r="S267" s="393"/>
      <c r="T267" s="393"/>
    </row>
    <row r="268" spans="7:20" ht="12.75">
      <c r="G268" s="393"/>
      <c r="H268" s="393"/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</row>
    <row r="269" spans="7:20" ht="12.75">
      <c r="G269" s="393"/>
      <c r="H269" s="393"/>
      <c r="I269" s="393"/>
      <c r="J269" s="393"/>
      <c r="K269" s="393"/>
      <c r="L269" s="393"/>
      <c r="M269" s="393"/>
      <c r="N269" s="393"/>
      <c r="O269" s="393"/>
      <c r="P269" s="393"/>
      <c r="Q269" s="393"/>
      <c r="R269" s="393"/>
      <c r="S269" s="393"/>
      <c r="T269" s="393"/>
    </row>
    <row r="270" spans="7:20" ht="12.75">
      <c r="G270" s="393"/>
      <c r="H270" s="393"/>
      <c r="I270" s="393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</row>
    <row r="271" spans="7:20" ht="12.75">
      <c r="G271" s="393"/>
      <c r="H271" s="393"/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</row>
    <row r="272" spans="7:20" ht="12.75">
      <c r="G272" s="393"/>
      <c r="H272" s="393"/>
      <c r="I272" s="393"/>
      <c r="J272" s="393"/>
      <c r="K272" s="393"/>
      <c r="L272" s="393"/>
      <c r="M272" s="393"/>
      <c r="N272" s="393"/>
      <c r="O272" s="393"/>
      <c r="P272" s="393"/>
      <c r="Q272" s="393"/>
      <c r="R272" s="393"/>
      <c r="S272" s="393"/>
      <c r="T272" s="393"/>
    </row>
    <row r="273" spans="7:20" ht="12.75">
      <c r="G273" s="393"/>
      <c r="H273" s="393"/>
      <c r="I273" s="393"/>
      <c r="J273" s="393"/>
      <c r="K273" s="393"/>
      <c r="L273" s="393"/>
      <c r="M273" s="393"/>
      <c r="N273" s="393"/>
      <c r="O273" s="393"/>
      <c r="P273" s="393"/>
      <c r="Q273" s="393"/>
      <c r="R273" s="393"/>
      <c r="S273" s="393"/>
      <c r="T273" s="393"/>
    </row>
    <row r="274" spans="7:20" ht="12.75">
      <c r="G274" s="393"/>
      <c r="H274" s="393"/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</row>
    <row r="275" spans="7:20" ht="12.75">
      <c r="G275" s="393"/>
      <c r="H275" s="393"/>
      <c r="I275" s="393"/>
      <c r="J275" s="393"/>
      <c r="K275" s="393"/>
      <c r="L275" s="393"/>
      <c r="M275" s="393"/>
      <c r="N275" s="393"/>
      <c r="O275" s="393"/>
      <c r="P275" s="393"/>
      <c r="Q275" s="393"/>
      <c r="R275" s="393"/>
      <c r="S275" s="393"/>
      <c r="T275" s="393"/>
    </row>
    <row r="276" spans="7:20" ht="12.75">
      <c r="G276" s="393"/>
      <c r="H276" s="393"/>
      <c r="I276" s="393"/>
      <c r="J276" s="393"/>
      <c r="K276" s="393"/>
      <c r="L276" s="393"/>
      <c r="M276" s="393"/>
      <c r="N276" s="393"/>
      <c r="O276" s="393"/>
      <c r="P276" s="393"/>
      <c r="Q276" s="393"/>
      <c r="R276" s="393"/>
      <c r="S276" s="393"/>
      <c r="T276" s="393"/>
    </row>
    <row r="277" spans="7:20" ht="12.75">
      <c r="G277" s="393"/>
      <c r="H277" s="393"/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  <c r="T277" s="393"/>
    </row>
    <row r="278" spans="7:20" ht="12.75">
      <c r="G278" s="393"/>
      <c r="H278" s="393"/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</row>
    <row r="279" spans="7:20" ht="12.75">
      <c r="G279" s="393"/>
      <c r="H279" s="393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</row>
    <row r="280" spans="7:20" ht="12.75">
      <c r="G280" s="393"/>
      <c r="H280" s="393"/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</row>
    <row r="281" spans="7:20" ht="12.75">
      <c r="G281" s="393"/>
      <c r="H281" s="393"/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</row>
    <row r="282" spans="7:20" ht="12.75">
      <c r="G282" s="393"/>
      <c r="H282" s="393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</row>
    <row r="283" spans="7:20" ht="12.75">
      <c r="G283" s="393"/>
      <c r="H283" s="393"/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93"/>
    </row>
    <row r="284" spans="7:20" ht="12.75">
      <c r="G284" s="393"/>
      <c r="H284" s="393"/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</row>
    <row r="285" spans="7:20" ht="12.75">
      <c r="G285" s="393"/>
      <c r="H285" s="393"/>
      <c r="I285" s="393"/>
      <c r="J285" s="393"/>
      <c r="K285" s="393"/>
      <c r="L285" s="393"/>
      <c r="M285" s="393"/>
      <c r="N285" s="393"/>
      <c r="O285" s="393"/>
      <c r="P285" s="393"/>
      <c r="Q285" s="393"/>
      <c r="R285" s="393"/>
      <c r="S285" s="393"/>
      <c r="T285" s="393"/>
    </row>
    <row r="286" spans="7:20" ht="12.75">
      <c r="G286" s="393"/>
      <c r="H286" s="393"/>
      <c r="I286" s="393"/>
      <c r="J286" s="393"/>
      <c r="K286" s="393"/>
      <c r="L286" s="393"/>
      <c r="M286" s="393"/>
      <c r="N286" s="393"/>
      <c r="O286" s="393"/>
      <c r="P286" s="393"/>
      <c r="Q286" s="393"/>
      <c r="R286" s="393"/>
      <c r="S286" s="393"/>
      <c r="T286" s="393"/>
    </row>
    <row r="287" spans="7:20" ht="12.75">
      <c r="G287" s="393"/>
      <c r="H287" s="393"/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</row>
    <row r="288" spans="7:20" ht="12.75">
      <c r="G288" s="393"/>
      <c r="H288" s="393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3"/>
      <c r="T288" s="393"/>
    </row>
    <row r="289" spans="7:20" ht="12.75">
      <c r="G289" s="393"/>
      <c r="H289" s="393"/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  <c r="T289" s="393"/>
    </row>
    <row r="290" spans="7:20" ht="12.75">
      <c r="G290" s="393"/>
      <c r="H290" s="393"/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</row>
    <row r="291" spans="7:20" ht="12.75">
      <c r="G291" s="393"/>
      <c r="H291" s="393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</row>
    <row r="292" spans="7:20" ht="12.75">
      <c r="G292" s="393"/>
      <c r="H292" s="393"/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</row>
    <row r="293" spans="7:20" ht="12.75">
      <c r="G293" s="393"/>
      <c r="H293" s="393"/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</row>
    <row r="294" spans="7:20" ht="12.75">
      <c r="G294" s="393"/>
      <c r="H294" s="393"/>
      <c r="I294" s="393"/>
      <c r="J294" s="393"/>
      <c r="K294" s="393"/>
      <c r="L294" s="393"/>
      <c r="M294" s="393"/>
      <c r="N294" s="393"/>
      <c r="O294" s="393"/>
      <c r="P294" s="393"/>
      <c r="Q294" s="393"/>
      <c r="R294" s="393"/>
      <c r="S294" s="393"/>
      <c r="T294" s="393"/>
    </row>
    <row r="295" spans="7:20" ht="12.75">
      <c r="G295" s="393"/>
      <c r="H295" s="393"/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</row>
    <row r="296" spans="7:20" ht="12.75">
      <c r="G296" s="393"/>
      <c r="H296" s="393"/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</row>
    <row r="297" spans="7:20" ht="12.75">
      <c r="G297" s="393"/>
      <c r="H297" s="393"/>
      <c r="I297" s="393"/>
      <c r="J297" s="393"/>
      <c r="K297" s="393"/>
      <c r="L297" s="393"/>
      <c r="M297" s="393"/>
      <c r="N297" s="393"/>
      <c r="O297" s="393"/>
      <c r="P297" s="393"/>
      <c r="Q297" s="393"/>
      <c r="R297" s="393"/>
      <c r="S297" s="393"/>
      <c r="T297" s="393"/>
    </row>
    <row r="298" spans="7:20" ht="12.75">
      <c r="G298" s="393"/>
      <c r="H298" s="393"/>
      <c r="I298" s="393"/>
      <c r="J298" s="393"/>
      <c r="K298" s="393"/>
      <c r="L298" s="393"/>
      <c r="M298" s="393"/>
      <c r="N298" s="393"/>
      <c r="O298" s="393"/>
      <c r="P298" s="393"/>
      <c r="Q298" s="393"/>
      <c r="R298" s="393"/>
      <c r="S298" s="393"/>
      <c r="T298" s="393"/>
    </row>
    <row r="299" spans="7:20" ht="12.75">
      <c r="G299" s="393"/>
      <c r="H299" s="393"/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</row>
    <row r="300" spans="7:20" ht="12.75">
      <c r="G300" s="393"/>
      <c r="H300" s="393"/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</row>
    <row r="301" spans="7:20" ht="12.75">
      <c r="G301" s="393"/>
      <c r="H301" s="393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</row>
    <row r="302" spans="7:20" ht="12.75">
      <c r="G302" s="393"/>
      <c r="H302" s="393"/>
      <c r="I302" s="393"/>
      <c r="J302" s="393"/>
      <c r="K302" s="393"/>
      <c r="L302" s="393"/>
      <c r="M302" s="393"/>
      <c r="N302" s="393"/>
      <c r="O302" s="393"/>
      <c r="P302" s="393"/>
      <c r="Q302" s="393"/>
      <c r="R302" s="393"/>
      <c r="S302" s="393"/>
      <c r="T302" s="393"/>
    </row>
    <row r="303" spans="7:20" ht="12.75">
      <c r="G303" s="393"/>
      <c r="H303" s="393"/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</row>
    <row r="304" spans="7:20" ht="12.75">
      <c r="G304" s="393"/>
      <c r="H304" s="393"/>
      <c r="I304" s="393"/>
      <c r="J304" s="393"/>
      <c r="K304" s="393"/>
      <c r="L304" s="393"/>
      <c r="M304" s="393"/>
      <c r="N304" s="393"/>
      <c r="O304" s="393"/>
      <c r="P304" s="393"/>
      <c r="Q304" s="393"/>
      <c r="R304" s="393"/>
      <c r="S304" s="393"/>
      <c r="T304" s="393"/>
    </row>
    <row r="305" spans="7:20" ht="12.75">
      <c r="G305" s="393"/>
      <c r="H305" s="393"/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</row>
    <row r="306" spans="7:20" ht="12.75">
      <c r="G306" s="393"/>
      <c r="H306" s="393"/>
      <c r="I306" s="393"/>
      <c r="J306" s="393"/>
      <c r="K306" s="393"/>
      <c r="L306" s="393"/>
      <c r="M306" s="393"/>
      <c r="N306" s="393"/>
      <c r="O306" s="393"/>
      <c r="P306" s="393"/>
      <c r="Q306" s="393"/>
      <c r="R306" s="393"/>
      <c r="S306" s="393"/>
      <c r="T306" s="393"/>
    </row>
    <row r="307" spans="7:20" ht="12.75">
      <c r="G307" s="393"/>
      <c r="H307" s="393"/>
      <c r="I307" s="393"/>
      <c r="J307" s="393"/>
      <c r="K307" s="393"/>
      <c r="L307" s="393"/>
      <c r="M307" s="393"/>
      <c r="N307" s="393"/>
      <c r="O307" s="393"/>
      <c r="P307" s="393"/>
      <c r="Q307" s="393"/>
      <c r="R307" s="393"/>
      <c r="S307" s="393"/>
      <c r="T307" s="393"/>
    </row>
    <row r="308" spans="7:20" ht="12.75">
      <c r="G308" s="393"/>
      <c r="H308" s="393"/>
      <c r="I308" s="393"/>
      <c r="J308" s="393"/>
      <c r="K308" s="393"/>
      <c r="L308" s="393"/>
      <c r="M308" s="393"/>
      <c r="N308" s="393"/>
      <c r="O308" s="393"/>
      <c r="P308" s="393"/>
      <c r="Q308" s="393"/>
      <c r="R308" s="393"/>
      <c r="S308" s="393"/>
      <c r="T308" s="393"/>
    </row>
    <row r="309" spans="7:20" ht="12.75">
      <c r="G309" s="393"/>
      <c r="H309" s="393"/>
      <c r="I309" s="393"/>
      <c r="J309" s="393"/>
      <c r="K309" s="393"/>
      <c r="L309" s="393"/>
      <c r="M309" s="393"/>
      <c r="N309" s="393"/>
      <c r="O309" s="393"/>
      <c r="P309" s="393"/>
      <c r="Q309" s="393"/>
      <c r="R309" s="393"/>
      <c r="S309" s="393"/>
      <c r="T309" s="393"/>
    </row>
    <row r="310" spans="7:20" ht="12.75">
      <c r="G310" s="393"/>
      <c r="H310" s="393"/>
      <c r="I310" s="393"/>
      <c r="J310" s="393"/>
      <c r="K310" s="393"/>
      <c r="L310" s="393"/>
      <c r="M310" s="393"/>
      <c r="N310" s="393"/>
      <c r="O310" s="393"/>
      <c r="P310" s="393"/>
      <c r="Q310" s="393"/>
      <c r="R310" s="393"/>
      <c r="S310" s="393"/>
      <c r="T310" s="393"/>
    </row>
    <row r="311" spans="7:20" ht="12.75">
      <c r="G311" s="393"/>
      <c r="H311" s="393"/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</row>
    <row r="312" spans="7:20" ht="12.75">
      <c r="G312" s="393"/>
      <c r="H312" s="393"/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  <c r="T312" s="393"/>
    </row>
    <row r="313" spans="7:20" ht="12.75">
      <c r="G313" s="393"/>
      <c r="H313" s="393"/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  <c r="T313" s="393"/>
    </row>
    <row r="314" spans="7:20" ht="12.75">
      <c r="G314" s="393"/>
      <c r="H314" s="393"/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  <c r="T314" s="393"/>
    </row>
    <row r="315" spans="7:20" ht="12.75">
      <c r="G315" s="393"/>
      <c r="H315" s="393"/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  <c r="T315" s="393"/>
    </row>
    <row r="316" spans="7:20" ht="12.75">
      <c r="G316" s="393"/>
      <c r="H316" s="393"/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</row>
    <row r="317" spans="7:20" ht="12.75">
      <c r="G317" s="393"/>
      <c r="H317" s="393"/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</row>
    <row r="318" spans="7:20" ht="12.75">
      <c r="G318" s="393"/>
      <c r="H318" s="393"/>
      <c r="I318" s="393"/>
      <c r="J318" s="393"/>
      <c r="K318" s="393"/>
      <c r="L318" s="393"/>
      <c r="M318" s="393"/>
      <c r="N318" s="393"/>
      <c r="O318" s="393"/>
      <c r="P318" s="393"/>
      <c r="Q318" s="393"/>
      <c r="R318" s="393"/>
      <c r="S318" s="393"/>
      <c r="T318" s="393"/>
    </row>
    <row r="319" spans="7:20" ht="12.75">
      <c r="G319" s="393"/>
      <c r="H319" s="393"/>
      <c r="I319" s="393"/>
      <c r="J319" s="393"/>
      <c r="K319" s="393"/>
      <c r="L319" s="393"/>
      <c r="M319" s="393"/>
      <c r="N319" s="393"/>
      <c r="O319" s="393"/>
      <c r="P319" s="393"/>
      <c r="Q319" s="393"/>
      <c r="R319" s="393"/>
      <c r="S319" s="393"/>
      <c r="T319" s="393"/>
    </row>
    <row r="320" spans="7:20" ht="12.75">
      <c r="G320" s="393"/>
      <c r="H320" s="393"/>
      <c r="I320" s="393"/>
      <c r="J320" s="393"/>
      <c r="K320" s="393"/>
      <c r="L320" s="393"/>
      <c r="M320" s="393"/>
      <c r="N320" s="393"/>
      <c r="O320" s="393"/>
      <c r="P320" s="393"/>
      <c r="Q320" s="393"/>
      <c r="R320" s="393"/>
      <c r="S320" s="393"/>
      <c r="T320" s="393"/>
    </row>
    <row r="321" spans="7:20" ht="12.75">
      <c r="G321" s="393"/>
      <c r="H321" s="393"/>
      <c r="I321" s="393"/>
      <c r="J321" s="393"/>
      <c r="K321" s="393"/>
      <c r="L321" s="393"/>
      <c r="M321" s="393"/>
      <c r="N321" s="393"/>
      <c r="O321" s="393"/>
      <c r="P321" s="393"/>
      <c r="Q321" s="393"/>
      <c r="R321" s="393"/>
      <c r="S321" s="393"/>
      <c r="T321" s="393"/>
    </row>
    <row r="322" spans="7:20" ht="12.75">
      <c r="G322" s="393"/>
      <c r="H322" s="393"/>
      <c r="I322" s="393"/>
      <c r="J322" s="393"/>
      <c r="K322" s="393"/>
      <c r="L322" s="393"/>
      <c r="M322" s="393"/>
      <c r="N322" s="393"/>
      <c r="O322" s="393"/>
      <c r="P322" s="393"/>
      <c r="Q322" s="393"/>
      <c r="R322" s="393"/>
      <c r="S322" s="393"/>
      <c r="T322" s="393"/>
    </row>
    <row r="323" spans="7:20" ht="12.75">
      <c r="G323" s="393"/>
      <c r="H323" s="393"/>
      <c r="I323" s="393"/>
      <c r="J323" s="393"/>
      <c r="K323" s="393"/>
      <c r="L323" s="393"/>
      <c r="M323" s="393"/>
      <c r="N323" s="393"/>
      <c r="O323" s="393"/>
      <c r="P323" s="393"/>
      <c r="Q323" s="393"/>
      <c r="R323" s="393"/>
      <c r="S323" s="393"/>
      <c r="T323" s="393"/>
    </row>
    <row r="324" spans="7:20" ht="12.75">
      <c r="G324" s="393"/>
      <c r="H324" s="393"/>
      <c r="I324" s="393"/>
      <c r="J324" s="393"/>
      <c r="K324" s="393"/>
      <c r="L324" s="393"/>
      <c r="M324" s="393"/>
      <c r="N324" s="393"/>
      <c r="O324" s="393"/>
      <c r="P324" s="393"/>
      <c r="Q324" s="393"/>
      <c r="R324" s="393"/>
      <c r="S324" s="393"/>
      <c r="T324" s="393"/>
    </row>
    <row r="325" spans="7:20" ht="12.75">
      <c r="G325" s="393"/>
      <c r="H325" s="393"/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</row>
    <row r="326" spans="7:20" ht="12.75">
      <c r="G326" s="393"/>
      <c r="H326" s="393"/>
      <c r="I326" s="393"/>
      <c r="J326" s="393"/>
      <c r="K326" s="393"/>
      <c r="L326" s="393"/>
      <c r="M326" s="393"/>
      <c r="N326" s="393"/>
      <c r="O326" s="393"/>
      <c r="P326" s="393"/>
      <c r="Q326" s="393"/>
      <c r="R326" s="393"/>
      <c r="S326" s="393"/>
      <c r="T326" s="393"/>
    </row>
    <row r="327" spans="7:20" ht="12.75">
      <c r="G327" s="393"/>
      <c r="H327" s="393"/>
      <c r="I327" s="393"/>
      <c r="J327" s="393"/>
      <c r="K327" s="393"/>
      <c r="L327" s="393"/>
      <c r="M327" s="393"/>
      <c r="N327" s="393"/>
      <c r="O327" s="393"/>
      <c r="P327" s="393"/>
      <c r="Q327" s="393"/>
      <c r="R327" s="393"/>
      <c r="S327" s="393"/>
      <c r="T327" s="393"/>
    </row>
    <row r="328" spans="7:20" ht="12.75">
      <c r="G328" s="393"/>
      <c r="H328" s="393"/>
      <c r="I328" s="393"/>
      <c r="J328" s="393"/>
      <c r="K328" s="393"/>
      <c r="L328" s="393"/>
      <c r="M328" s="393"/>
      <c r="N328" s="393"/>
      <c r="O328" s="393"/>
      <c r="P328" s="393"/>
      <c r="Q328" s="393"/>
      <c r="R328" s="393"/>
      <c r="S328" s="393"/>
      <c r="T328" s="393"/>
    </row>
    <row r="329" spans="7:20" ht="12.75">
      <c r="G329" s="393"/>
      <c r="H329" s="393"/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</row>
    <row r="330" spans="7:20" ht="12.75">
      <c r="G330" s="393"/>
      <c r="H330" s="393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3"/>
      <c r="T330" s="393"/>
    </row>
    <row r="331" spans="7:20" ht="12.75">
      <c r="G331" s="393"/>
      <c r="H331" s="393"/>
      <c r="I331" s="393"/>
      <c r="J331" s="393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</row>
    <row r="332" spans="7:20" ht="12.75">
      <c r="G332" s="393"/>
      <c r="H332" s="393"/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</row>
    <row r="333" spans="7:20" ht="12.75">
      <c r="G333" s="393"/>
      <c r="H333" s="393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3"/>
      <c r="T333" s="393"/>
    </row>
    <row r="334" spans="7:20" ht="12.75">
      <c r="G334" s="393"/>
      <c r="H334" s="393"/>
      <c r="I334" s="393"/>
      <c r="J334" s="393"/>
      <c r="K334" s="393"/>
      <c r="L334" s="393"/>
      <c r="M334" s="393"/>
      <c r="N334" s="393"/>
      <c r="O334" s="393"/>
      <c r="P334" s="393"/>
      <c r="Q334" s="393"/>
      <c r="R334" s="393"/>
      <c r="S334" s="393"/>
      <c r="T334" s="393"/>
    </row>
    <row r="335" spans="7:20" ht="12.75">
      <c r="G335" s="393"/>
      <c r="H335" s="393"/>
      <c r="I335" s="393"/>
      <c r="J335" s="393"/>
      <c r="K335" s="393"/>
      <c r="L335" s="393"/>
      <c r="M335" s="393"/>
      <c r="N335" s="393"/>
      <c r="O335" s="393"/>
      <c r="P335" s="393"/>
      <c r="Q335" s="393"/>
      <c r="R335" s="393"/>
      <c r="S335" s="393"/>
      <c r="T335" s="393"/>
    </row>
    <row r="336" spans="7:20" ht="12.75">
      <c r="G336" s="393"/>
      <c r="H336" s="393"/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</row>
    <row r="337" spans="7:20" ht="12.75">
      <c r="G337" s="393"/>
      <c r="H337" s="393"/>
      <c r="I337" s="393"/>
      <c r="J337" s="393"/>
      <c r="K337" s="393"/>
      <c r="L337" s="393"/>
      <c r="M337" s="393"/>
      <c r="N337" s="393"/>
      <c r="O337" s="393"/>
      <c r="P337" s="393"/>
      <c r="Q337" s="393"/>
      <c r="R337" s="393"/>
      <c r="S337" s="393"/>
      <c r="T337" s="393"/>
    </row>
    <row r="338" spans="7:20" ht="12.75">
      <c r="G338" s="393"/>
      <c r="H338" s="393"/>
      <c r="I338" s="393"/>
      <c r="J338" s="393"/>
      <c r="K338" s="393"/>
      <c r="L338" s="393"/>
      <c r="M338" s="393"/>
      <c r="N338" s="393"/>
      <c r="O338" s="393"/>
      <c r="P338" s="393"/>
      <c r="Q338" s="393"/>
      <c r="R338" s="393"/>
      <c r="S338" s="393"/>
      <c r="T338" s="393"/>
    </row>
    <row r="339" spans="7:20" ht="12.75">
      <c r="G339" s="393"/>
      <c r="H339" s="393"/>
      <c r="I339" s="393"/>
      <c r="J339" s="393"/>
      <c r="K339" s="393"/>
      <c r="L339" s="393"/>
      <c r="M339" s="393"/>
      <c r="N339" s="393"/>
      <c r="O339" s="393"/>
      <c r="P339" s="393"/>
      <c r="Q339" s="393"/>
      <c r="R339" s="393"/>
      <c r="S339" s="393"/>
      <c r="T339" s="393"/>
    </row>
    <row r="340" spans="7:20" ht="12.75">
      <c r="G340" s="393"/>
      <c r="H340" s="393"/>
      <c r="I340" s="393"/>
      <c r="J340" s="393"/>
      <c r="K340" s="393"/>
      <c r="L340" s="393"/>
      <c r="M340" s="393"/>
      <c r="N340" s="393"/>
      <c r="O340" s="393"/>
      <c r="P340" s="393"/>
      <c r="Q340" s="393"/>
      <c r="R340" s="393"/>
      <c r="S340" s="393"/>
      <c r="T340" s="393"/>
    </row>
    <row r="341" spans="7:20" ht="12.75">
      <c r="G341" s="393"/>
      <c r="H341" s="393"/>
      <c r="I341" s="393"/>
      <c r="J341" s="393"/>
      <c r="K341" s="393"/>
      <c r="L341" s="393"/>
      <c r="M341" s="393"/>
      <c r="N341" s="393"/>
      <c r="O341" s="393"/>
      <c r="P341" s="393"/>
      <c r="Q341" s="393"/>
      <c r="R341" s="393"/>
      <c r="S341" s="393"/>
      <c r="T341" s="393"/>
    </row>
    <row r="342" spans="7:20" ht="12.75">
      <c r="G342" s="393"/>
      <c r="H342" s="393"/>
      <c r="I342" s="393"/>
      <c r="J342" s="393"/>
      <c r="K342" s="393"/>
      <c r="L342" s="393"/>
      <c r="M342" s="393"/>
      <c r="N342" s="393"/>
      <c r="O342" s="393"/>
      <c r="P342" s="393"/>
      <c r="Q342" s="393"/>
      <c r="R342" s="393"/>
      <c r="S342" s="393"/>
      <c r="T342" s="393"/>
    </row>
    <row r="343" spans="7:20" ht="12.75">
      <c r="G343" s="393"/>
      <c r="H343" s="393"/>
      <c r="I343" s="393"/>
      <c r="J343" s="393"/>
      <c r="K343" s="393"/>
      <c r="L343" s="393"/>
      <c r="M343" s="393"/>
      <c r="N343" s="393"/>
      <c r="O343" s="393"/>
      <c r="P343" s="393"/>
      <c r="Q343" s="393"/>
      <c r="R343" s="393"/>
      <c r="S343" s="393"/>
      <c r="T343" s="393"/>
    </row>
    <row r="344" spans="7:20" ht="12.75">
      <c r="G344" s="393"/>
      <c r="H344" s="393"/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  <c r="S344" s="393"/>
      <c r="T344" s="393"/>
    </row>
    <row r="345" spans="7:20" ht="12.75">
      <c r="G345" s="393"/>
      <c r="H345" s="393"/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</row>
    <row r="346" spans="7:20" ht="12.75">
      <c r="G346" s="393"/>
      <c r="H346" s="393"/>
      <c r="I346" s="393"/>
      <c r="J346" s="393"/>
      <c r="K346" s="393"/>
      <c r="L346" s="393"/>
      <c r="M346" s="393"/>
      <c r="N346" s="393"/>
      <c r="O346" s="393"/>
      <c r="P346" s="393"/>
      <c r="Q346" s="393"/>
      <c r="R346" s="393"/>
      <c r="S346" s="393"/>
      <c r="T346" s="393"/>
    </row>
    <row r="347" spans="7:20" ht="12.75">
      <c r="G347" s="393"/>
      <c r="H347" s="393"/>
      <c r="I347" s="393"/>
      <c r="J347" s="393"/>
      <c r="K347" s="393"/>
      <c r="L347" s="393"/>
      <c r="M347" s="393"/>
      <c r="N347" s="393"/>
      <c r="O347" s="393"/>
      <c r="P347" s="393"/>
      <c r="Q347" s="393"/>
      <c r="R347" s="393"/>
      <c r="S347" s="393"/>
      <c r="T347" s="393"/>
    </row>
    <row r="348" spans="7:20" ht="12.75">
      <c r="G348" s="393"/>
      <c r="H348" s="393"/>
      <c r="I348" s="393"/>
      <c r="J348" s="393"/>
      <c r="K348" s="393"/>
      <c r="L348" s="393"/>
      <c r="M348" s="393"/>
      <c r="N348" s="393"/>
      <c r="O348" s="393"/>
      <c r="P348" s="393"/>
      <c r="Q348" s="393"/>
      <c r="R348" s="393"/>
      <c r="S348" s="393"/>
      <c r="T348" s="393"/>
    </row>
    <row r="349" spans="7:20" ht="12.75">
      <c r="G349" s="393"/>
      <c r="H349" s="393"/>
      <c r="I349" s="393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</row>
    <row r="350" spans="7:20" ht="12.75">
      <c r="G350" s="393"/>
      <c r="H350" s="393"/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  <c r="T350" s="393"/>
    </row>
    <row r="351" spans="7:20" ht="12.75">
      <c r="G351" s="393"/>
      <c r="H351" s="393"/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</row>
    <row r="352" spans="7:20" ht="12.75">
      <c r="G352" s="393"/>
      <c r="H352" s="393"/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</row>
    <row r="353" spans="7:20" ht="12.75">
      <c r="G353" s="393"/>
      <c r="H353" s="393"/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</row>
    <row r="354" spans="7:20" ht="12.75">
      <c r="G354" s="393"/>
      <c r="H354" s="393"/>
      <c r="I354" s="393"/>
      <c r="J354" s="393"/>
      <c r="K354" s="393"/>
      <c r="L354" s="393"/>
      <c r="M354" s="393"/>
      <c r="N354" s="393"/>
      <c r="O354" s="393"/>
      <c r="P354" s="393"/>
      <c r="Q354" s="393"/>
      <c r="R354" s="393"/>
      <c r="S354" s="393"/>
      <c r="T354" s="393"/>
    </row>
    <row r="355" spans="7:20" ht="12.75">
      <c r="G355" s="393"/>
      <c r="H355" s="393"/>
      <c r="I355" s="393"/>
      <c r="J355" s="393"/>
      <c r="K355" s="393"/>
      <c r="L355" s="393"/>
      <c r="M355" s="393"/>
      <c r="N355" s="393"/>
      <c r="O355" s="393"/>
      <c r="P355" s="393"/>
      <c r="Q355" s="393"/>
      <c r="R355" s="393"/>
      <c r="S355" s="393"/>
      <c r="T355" s="393"/>
    </row>
    <row r="356" spans="7:20" ht="12.75">
      <c r="G356" s="393"/>
      <c r="H356" s="393"/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  <c r="S356" s="393"/>
      <c r="T356" s="393"/>
    </row>
    <row r="357" spans="7:20" ht="12.75">
      <c r="G357" s="393"/>
      <c r="H357" s="393"/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</row>
    <row r="358" spans="7:20" ht="12.75">
      <c r="G358" s="393"/>
      <c r="H358" s="393"/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</row>
    <row r="359" spans="7:20" ht="12.75">
      <c r="G359" s="393"/>
      <c r="H359" s="393"/>
      <c r="I359" s="393"/>
      <c r="J359" s="393"/>
      <c r="K359" s="393"/>
      <c r="L359" s="393"/>
      <c r="M359" s="393"/>
      <c r="N359" s="393"/>
      <c r="O359" s="393"/>
      <c r="P359" s="393"/>
      <c r="Q359" s="393"/>
      <c r="R359" s="393"/>
      <c r="S359" s="393"/>
      <c r="T359" s="393"/>
    </row>
    <row r="360" spans="7:20" ht="12.75">
      <c r="G360" s="393"/>
      <c r="H360" s="393"/>
      <c r="I360" s="393"/>
      <c r="J360" s="393"/>
      <c r="K360" s="393"/>
      <c r="L360" s="393"/>
      <c r="M360" s="393"/>
      <c r="N360" s="393"/>
      <c r="O360" s="393"/>
      <c r="P360" s="393"/>
      <c r="Q360" s="393"/>
      <c r="R360" s="393"/>
      <c r="S360" s="393"/>
      <c r="T360" s="393"/>
    </row>
    <row r="361" spans="7:20" ht="12.75"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</row>
    <row r="362" spans="7:20" ht="12.75">
      <c r="G362" s="393"/>
      <c r="H362" s="393"/>
      <c r="I362" s="393"/>
      <c r="J362" s="393"/>
      <c r="K362" s="393"/>
      <c r="L362" s="393"/>
      <c r="M362" s="393"/>
      <c r="N362" s="393"/>
      <c r="O362" s="393"/>
      <c r="P362" s="393"/>
      <c r="Q362" s="393"/>
      <c r="R362" s="393"/>
      <c r="S362" s="393"/>
      <c r="T362" s="393"/>
    </row>
    <row r="363" spans="7:20" ht="12.75">
      <c r="G363" s="393"/>
      <c r="H363" s="393"/>
      <c r="I363" s="393"/>
      <c r="J363" s="393"/>
      <c r="K363" s="393"/>
      <c r="L363" s="393"/>
      <c r="M363" s="393"/>
      <c r="N363" s="393"/>
      <c r="O363" s="393"/>
      <c r="P363" s="393"/>
      <c r="Q363" s="393"/>
      <c r="R363" s="393"/>
      <c r="S363" s="393"/>
      <c r="T363" s="393"/>
    </row>
    <row r="364" spans="7:20" ht="12.75">
      <c r="G364" s="393"/>
      <c r="H364" s="393"/>
      <c r="I364" s="393"/>
      <c r="J364" s="393"/>
      <c r="K364" s="393"/>
      <c r="L364" s="393"/>
      <c r="M364" s="393"/>
      <c r="N364" s="393"/>
      <c r="O364" s="393"/>
      <c r="P364" s="393"/>
      <c r="Q364" s="393"/>
      <c r="R364" s="393"/>
      <c r="S364" s="393"/>
      <c r="T364" s="393"/>
    </row>
    <row r="365" spans="7:20" ht="12.75">
      <c r="G365" s="393"/>
      <c r="H365" s="393"/>
      <c r="I365" s="393"/>
      <c r="J365" s="393"/>
      <c r="K365" s="393"/>
      <c r="L365" s="393"/>
      <c r="M365" s="393"/>
      <c r="N365" s="393"/>
      <c r="O365" s="393"/>
      <c r="P365" s="393"/>
      <c r="Q365" s="393"/>
      <c r="R365" s="393"/>
      <c r="S365" s="393"/>
      <c r="T365" s="393"/>
    </row>
    <row r="366" spans="7:20" ht="12.75">
      <c r="G366" s="393"/>
      <c r="H366" s="393"/>
      <c r="I366" s="393"/>
      <c r="J366" s="393"/>
      <c r="K366" s="393"/>
      <c r="L366" s="393"/>
      <c r="M366" s="393"/>
      <c r="N366" s="393"/>
      <c r="O366" s="393"/>
      <c r="P366" s="393"/>
      <c r="Q366" s="393"/>
      <c r="R366" s="393"/>
      <c r="S366" s="393"/>
      <c r="T366" s="393"/>
    </row>
    <row r="367" spans="7:20" ht="12.75">
      <c r="G367" s="393"/>
      <c r="H367" s="393"/>
      <c r="I367" s="393"/>
      <c r="J367" s="393"/>
      <c r="K367" s="393"/>
      <c r="L367" s="393"/>
      <c r="M367" s="393"/>
      <c r="N367" s="393"/>
      <c r="O367" s="393"/>
      <c r="P367" s="393"/>
      <c r="Q367" s="393"/>
      <c r="R367" s="393"/>
      <c r="S367" s="393"/>
      <c r="T367" s="393"/>
    </row>
    <row r="368" spans="7:20" ht="12.75">
      <c r="G368" s="393"/>
      <c r="H368" s="393"/>
      <c r="I368" s="393"/>
      <c r="J368" s="393"/>
      <c r="K368" s="393"/>
      <c r="L368" s="393"/>
      <c r="M368" s="393"/>
      <c r="N368" s="393"/>
      <c r="O368" s="393"/>
      <c r="P368" s="393"/>
      <c r="Q368" s="393"/>
      <c r="R368" s="393"/>
      <c r="S368" s="393"/>
      <c r="T368" s="393"/>
    </row>
    <row r="369" spans="7:20" ht="12.75">
      <c r="G369" s="393"/>
      <c r="H369" s="393"/>
      <c r="I369" s="393"/>
      <c r="J369" s="393"/>
      <c r="K369" s="393"/>
      <c r="L369" s="393"/>
      <c r="M369" s="393"/>
      <c r="N369" s="393"/>
      <c r="O369" s="393"/>
      <c r="P369" s="393"/>
      <c r="Q369" s="393"/>
      <c r="R369" s="393"/>
      <c r="S369" s="393"/>
      <c r="T369" s="393"/>
    </row>
    <row r="370" spans="7:20" ht="12.75">
      <c r="G370" s="393"/>
      <c r="H370" s="393"/>
      <c r="I370" s="393"/>
      <c r="J370" s="393"/>
      <c r="K370" s="393"/>
      <c r="L370" s="393"/>
      <c r="M370" s="393"/>
      <c r="N370" s="393"/>
      <c r="O370" s="393"/>
      <c r="P370" s="393"/>
      <c r="Q370" s="393"/>
      <c r="R370" s="393"/>
      <c r="S370" s="393"/>
      <c r="T370" s="393"/>
    </row>
    <row r="371" spans="7:20" ht="12.75">
      <c r="G371" s="393"/>
      <c r="H371" s="393"/>
      <c r="I371" s="393"/>
      <c r="J371" s="393"/>
      <c r="K371" s="393"/>
      <c r="L371" s="393"/>
      <c r="M371" s="393"/>
      <c r="N371" s="393"/>
      <c r="O371" s="393"/>
      <c r="P371" s="393"/>
      <c r="Q371" s="393"/>
      <c r="R371" s="393"/>
      <c r="S371" s="393"/>
      <c r="T371" s="393"/>
    </row>
    <row r="372" spans="7:20" ht="12.75">
      <c r="G372" s="393"/>
      <c r="H372" s="393"/>
      <c r="I372" s="393"/>
      <c r="J372" s="393"/>
      <c r="K372" s="393"/>
      <c r="L372" s="393"/>
      <c r="M372" s="393"/>
      <c r="N372" s="393"/>
      <c r="O372" s="393"/>
      <c r="P372" s="393"/>
      <c r="Q372" s="393"/>
      <c r="R372" s="393"/>
      <c r="S372" s="393"/>
      <c r="T372" s="393"/>
    </row>
    <row r="373" spans="7:20" ht="12.75">
      <c r="G373" s="393"/>
      <c r="H373" s="393"/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  <c r="S373" s="393"/>
      <c r="T373" s="393"/>
    </row>
    <row r="374" spans="7:20" ht="12.75">
      <c r="G374" s="393"/>
      <c r="H374" s="393"/>
      <c r="I374" s="393"/>
      <c r="J374" s="393"/>
      <c r="K374" s="393"/>
      <c r="L374" s="393"/>
      <c r="M374" s="393"/>
      <c r="N374" s="393"/>
      <c r="O374" s="393"/>
      <c r="P374" s="393"/>
      <c r="Q374" s="393"/>
      <c r="R374" s="393"/>
      <c r="S374" s="393"/>
      <c r="T374" s="393"/>
    </row>
    <row r="375" spans="7:20" ht="12.75">
      <c r="G375" s="393"/>
      <c r="H375" s="393"/>
      <c r="I375" s="393"/>
      <c r="J375" s="393"/>
      <c r="K375" s="393"/>
      <c r="L375" s="393"/>
      <c r="M375" s="393"/>
      <c r="N375" s="393"/>
      <c r="O375" s="393"/>
      <c r="P375" s="393"/>
      <c r="Q375" s="393"/>
      <c r="R375" s="393"/>
      <c r="S375" s="393"/>
      <c r="T375" s="393"/>
    </row>
    <row r="376" spans="7:20" ht="12.75">
      <c r="G376" s="393"/>
      <c r="H376" s="393"/>
      <c r="I376" s="393"/>
      <c r="J376" s="393"/>
      <c r="K376" s="393"/>
      <c r="L376" s="393"/>
      <c r="M376" s="393"/>
      <c r="N376" s="393"/>
      <c r="O376" s="393"/>
      <c r="P376" s="393"/>
      <c r="Q376" s="393"/>
      <c r="R376" s="393"/>
      <c r="S376" s="393"/>
      <c r="T376" s="393"/>
    </row>
    <row r="377" spans="7:20" ht="12.75">
      <c r="G377" s="393"/>
      <c r="H377" s="393"/>
      <c r="I377" s="393"/>
      <c r="J377" s="393"/>
      <c r="K377" s="393"/>
      <c r="L377" s="393"/>
      <c r="M377" s="393"/>
      <c r="N377" s="393"/>
      <c r="O377" s="393"/>
      <c r="P377" s="393"/>
      <c r="Q377" s="393"/>
      <c r="R377" s="393"/>
      <c r="S377" s="393"/>
      <c r="T377" s="393"/>
    </row>
    <row r="378" spans="7:20" ht="12.75">
      <c r="G378" s="393"/>
      <c r="H378" s="393"/>
      <c r="I378" s="393"/>
      <c r="J378" s="393"/>
      <c r="K378" s="393"/>
      <c r="L378" s="393"/>
      <c r="M378" s="393"/>
      <c r="N378" s="393"/>
      <c r="O378" s="393"/>
      <c r="P378" s="393"/>
      <c r="Q378" s="393"/>
      <c r="R378" s="393"/>
      <c r="S378" s="393"/>
      <c r="T378" s="393"/>
    </row>
    <row r="379" spans="7:20" ht="12.75">
      <c r="G379" s="393"/>
      <c r="H379" s="393"/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</row>
    <row r="380" spans="7:20" ht="12.75">
      <c r="G380" s="393"/>
      <c r="H380" s="393"/>
      <c r="I380" s="393"/>
      <c r="J380" s="393"/>
      <c r="K380" s="393"/>
      <c r="L380" s="393"/>
      <c r="M380" s="393"/>
      <c r="N380" s="393"/>
      <c r="O380" s="393"/>
      <c r="P380" s="393"/>
      <c r="Q380" s="393"/>
      <c r="R380" s="393"/>
      <c r="S380" s="393"/>
      <c r="T380" s="393"/>
    </row>
    <row r="381" spans="7:20" ht="12.75">
      <c r="G381" s="393"/>
      <c r="H381" s="393"/>
      <c r="I381" s="393"/>
      <c r="J381" s="393"/>
      <c r="K381" s="393"/>
      <c r="L381" s="393"/>
      <c r="M381" s="393"/>
      <c r="N381" s="393"/>
      <c r="O381" s="393"/>
      <c r="P381" s="393"/>
      <c r="Q381" s="393"/>
      <c r="R381" s="393"/>
      <c r="S381" s="393"/>
      <c r="T381" s="393"/>
    </row>
    <row r="382" spans="7:20" ht="12.75">
      <c r="G382" s="393"/>
      <c r="H382" s="393"/>
      <c r="I382" s="393"/>
      <c r="J382" s="393"/>
      <c r="K382" s="393"/>
      <c r="L382" s="393"/>
      <c r="M382" s="393"/>
      <c r="N382" s="393"/>
      <c r="O382" s="393"/>
      <c r="P382" s="393"/>
      <c r="Q382" s="393"/>
      <c r="R382" s="393"/>
      <c r="S382" s="393"/>
      <c r="T382" s="393"/>
    </row>
    <row r="383" spans="7:20" ht="12.75">
      <c r="G383" s="393"/>
      <c r="H383" s="393"/>
      <c r="I383" s="393"/>
      <c r="J383" s="393"/>
      <c r="K383" s="393"/>
      <c r="L383" s="393"/>
      <c r="M383" s="393"/>
      <c r="N383" s="393"/>
      <c r="O383" s="393"/>
      <c r="P383" s="393"/>
      <c r="Q383" s="393"/>
      <c r="R383" s="393"/>
      <c r="S383" s="393"/>
      <c r="T383" s="393"/>
    </row>
    <row r="384" spans="7:20" ht="12.75">
      <c r="G384" s="393"/>
      <c r="H384" s="393"/>
      <c r="I384" s="393"/>
      <c r="J384" s="393"/>
      <c r="K384" s="393"/>
      <c r="L384" s="393"/>
      <c r="M384" s="393"/>
      <c r="N384" s="393"/>
      <c r="O384" s="393"/>
      <c r="P384" s="393"/>
      <c r="Q384" s="393"/>
      <c r="R384" s="393"/>
      <c r="S384" s="393"/>
      <c r="T384" s="393"/>
    </row>
    <row r="385" spans="7:20" ht="12.75">
      <c r="G385" s="393"/>
      <c r="H385" s="393"/>
      <c r="I385" s="393"/>
      <c r="J385" s="393"/>
      <c r="K385" s="393"/>
      <c r="L385" s="393"/>
      <c r="M385" s="393"/>
      <c r="N385" s="393"/>
      <c r="O385" s="393"/>
      <c r="P385" s="393"/>
      <c r="Q385" s="393"/>
      <c r="R385" s="393"/>
      <c r="S385" s="393"/>
      <c r="T385" s="393"/>
    </row>
    <row r="386" spans="7:20" ht="12.75">
      <c r="G386" s="393"/>
      <c r="H386" s="393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3"/>
      <c r="T386" s="393"/>
    </row>
    <row r="387" spans="7:20" ht="12.75">
      <c r="G387" s="393"/>
      <c r="H387" s="393"/>
      <c r="I387" s="393"/>
      <c r="J387" s="393"/>
      <c r="K387" s="393"/>
      <c r="L387" s="393"/>
      <c r="M387" s="393"/>
      <c r="N387" s="393"/>
      <c r="O387" s="393"/>
      <c r="P387" s="393"/>
      <c r="Q387" s="393"/>
      <c r="R387" s="393"/>
      <c r="S387" s="393"/>
      <c r="T387" s="393"/>
    </row>
    <row r="388" spans="7:20" ht="12.75">
      <c r="G388" s="393"/>
      <c r="H388" s="393"/>
      <c r="I388" s="393"/>
      <c r="J388" s="393"/>
      <c r="K388" s="393"/>
      <c r="L388" s="393"/>
      <c r="M388" s="393"/>
      <c r="N388" s="393"/>
      <c r="O388" s="393"/>
      <c r="P388" s="393"/>
      <c r="Q388" s="393"/>
      <c r="R388" s="393"/>
      <c r="S388" s="393"/>
      <c r="T388" s="393"/>
    </row>
    <row r="389" spans="7:20" ht="12.75">
      <c r="G389" s="393"/>
      <c r="H389" s="393"/>
      <c r="I389" s="393"/>
      <c r="J389" s="393"/>
      <c r="K389" s="393"/>
      <c r="L389" s="393"/>
      <c r="M389" s="393"/>
      <c r="N389" s="393"/>
      <c r="O389" s="393"/>
      <c r="P389" s="393"/>
      <c r="Q389" s="393"/>
      <c r="R389" s="393"/>
      <c r="S389" s="393"/>
      <c r="T389" s="393"/>
    </row>
    <row r="390" spans="7:20" ht="12.75">
      <c r="G390" s="393"/>
      <c r="H390" s="393"/>
      <c r="I390" s="393"/>
      <c r="J390" s="393"/>
      <c r="K390" s="393"/>
      <c r="L390" s="393"/>
      <c r="M390" s="393"/>
      <c r="N390" s="393"/>
      <c r="O390" s="393"/>
      <c r="P390" s="393"/>
      <c r="Q390" s="393"/>
      <c r="R390" s="393"/>
      <c r="S390" s="393"/>
      <c r="T390" s="393"/>
    </row>
    <row r="391" spans="7:20" ht="12.75">
      <c r="G391" s="393"/>
      <c r="H391" s="393"/>
      <c r="I391" s="393"/>
      <c r="J391" s="393"/>
      <c r="K391" s="393"/>
      <c r="L391" s="393"/>
      <c r="M391" s="393"/>
      <c r="N391" s="393"/>
      <c r="O391" s="393"/>
      <c r="P391" s="393"/>
      <c r="Q391" s="393"/>
      <c r="R391" s="393"/>
      <c r="S391" s="393"/>
      <c r="T391" s="393"/>
    </row>
    <row r="392" spans="7:20" ht="12.75">
      <c r="G392" s="393"/>
      <c r="H392" s="393"/>
      <c r="I392" s="393"/>
      <c r="J392" s="393"/>
      <c r="K392" s="393"/>
      <c r="L392" s="393"/>
      <c r="M392" s="393"/>
      <c r="N392" s="393"/>
      <c r="O392" s="393"/>
      <c r="P392" s="393"/>
      <c r="Q392" s="393"/>
      <c r="R392" s="393"/>
      <c r="S392" s="393"/>
      <c r="T392" s="393"/>
    </row>
    <row r="393" spans="7:20" ht="12.75">
      <c r="G393" s="393"/>
      <c r="H393" s="393"/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</row>
    <row r="394" spans="7:20" ht="12.75">
      <c r="G394" s="393"/>
      <c r="H394" s="393"/>
      <c r="I394" s="393"/>
      <c r="J394" s="393"/>
      <c r="K394" s="393"/>
      <c r="L394" s="393"/>
      <c r="M394" s="393"/>
      <c r="N394" s="393"/>
      <c r="O394" s="393"/>
      <c r="P394" s="393"/>
      <c r="Q394" s="393"/>
      <c r="R394" s="393"/>
      <c r="S394" s="393"/>
      <c r="T394" s="393"/>
    </row>
    <row r="395" spans="7:20" ht="12.75">
      <c r="G395" s="393"/>
      <c r="H395" s="393"/>
      <c r="I395" s="393"/>
      <c r="J395" s="393"/>
      <c r="K395" s="393"/>
      <c r="L395" s="393"/>
      <c r="M395" s="393"/>
      <c r="N395" s="393"/>
      <c r="O395" s="393"/>
      <c r="P395" s="393"/>
      <c r="Q395" s="393"/>
      <c r="R395" s="393"/>
      <c r="S395" s="393"/>
      <c r="T395" s="393"/>
    </row>
    <row r="396" spans="7:20" ht="12.75"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</row>
    <row r="397" spans="7:20" ht="12.75">
      <c r="G397" s="393"/>
      <c r="H397" s="393"/>
      <c r="I397" s="393"/>
      <c r="J397" s="393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</row>
    <row r="398" spans="7:20" ht="12.75">
      <c r="G398" s="393"/>
      <c r="H398" s="393"/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</row>
    <row r="399" spans="7:20" ht="12.75">
      <c r="G399" s="393"/>
      <c r="H399" s="393"/>
      <c r="I399" s="393"/>
      <c r="J399" s="393"/>
      <c r="K399" s="393"/>
      <c r="L399" s="393"/>
      <c r="M399" s="393"/>
      <c r="N399" s="393"/>
      <c r="O399" s="393"/>
      <c r="P399" s="393"/>
      <c r="Q399" s="393"/>
      <c r="R399" s="393"/>
      <c r="S399" s="393"/>
      <c r="T399" s="393"/>
    </row>
    <row r="400" spans="7:20" ht="12.75">
      <c r="G400" s="393"/>
      <c r="H400" s="393"/>
      <c r="I400" s="393"/>
      <c r="J400" s="393"/>
      <c r="K400" s="393"/>
      <c r="L400" s="393"/>
      <c r="M400" s="393"/>
      <c r="N400" s="393"/>
      <c r="O400" s="393"/>
      <c r="P400" s="393"/>
      <c r="Q400" s="393"/>
      <c r="R400" s="393"/>
      <c r="S400" s="393"/>
      <c r="T400" s="393"/>
    </row>
    <row r="401" spans="7:20" ht="12.75">
      <c r="G401" s="393"/>
      <c r="H401" s="393"/>
      <c r="I401" s="393"/>
      <c r="J401" s="393"/>
      <c r="K401" s="393"/>
      <c r="L401" s="393"/>
      <c r="M401" s="393"/>
      <c r="N401" s="393"/>
      <c r="O401" s="393"/>
      <c r="P401" s="393"/>
      <c r="Q401" s="393"/>
      <c r="R401" s="393"/>
      <c r="S401" s="393"/>
      <c r="T401" s="393"/>
    </row>
    <row r="402" spans="7:20" ht="12.75">
      <c r="G402" s="393"/>
      <c r="H402" s="393"/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  <c r="S402" s="393"/>
      <c r="T402" s="393"/>
    </row>
    <row r="403" spans="7:20" ht="12.75">
      <c r="G403" s="393"/>
      <c r="H403" s="393"/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</row>
    <row r="404" spans="7:20" ht="12.75">
      <c r="G404" s="393"/>
      <c r="H404" s="393"/>
      <c r="I404" s="393"/>
      <c r="J404" s="393"/>
      <c r="K404" s="393"/>
      <c r="L404" s="393"/>
      <c r="M404" s="393"/>
      <c r="N404" s="393"/>
      <c r="O404" s="393"/>
      <c r="P404" s="393"/>
      <c r="Q404" s="393"/>
      <c r="R404" s="393"/>
      <c r="S404" s="393"/>
      <c r="T404" s="393"/>
    </row>
    <row r="405" spans="7:20" ht="12.75">
      <c r="G405" s="393"/>
      <c r="H405" s="393"/>
      <c r="I405" s="393"/>
      <c r="J405" s="393"/>
      <c r="K405" s="393"/>
      <c r="L405" s="393"/>
      <c r="M405" s="393"/>
      <c r="N405" s="393"/>
      <c r="O405" s="393"/>
      <c r="P405" s="393"/>
      <c r="Q405" s="393"/>
      <c r="R405" s="393"/>
      <c r="S405" s="393"/>
      <c r="T405" s="393"/>
    </row>
    <row r="406" spans="7:20" ht="12.75">
      <c r="G406" s="393"/>
      <c r="H406" s="393"/>
      <c r="I406" s="393"/>
      <c r="J406" s="393"/>
      <c r="K406" s="393"/>
      <c r="L406" s="393"/>
      <c r="M406" s="393"/>
      <c r="N406" s="393"/>
      <c r="O406" s="393"/>
      <c r="P406" s="393"/>
      <c r="Q406" s="393"/>
      <c r="R406" s="393"/>
      <c r="S406" s="393"/>
      <c r="T406" s="393"/>
    </row>
    <row r="407" spans="7:20" ht="12.75">
      <c r="G407" s="393"/>
      <c r="H407" s="393"/>
      <c r="I407" s="393"/>
      <c r="J407" s="393"/>
      <c r="K407" s="393"/>
      <c r="L407" s="393"/>
      <c r="M407" s="393"/>
      <c r="N407" s="393"/>
      <c r="O407" s="393"/>
      <c r="P407" s="393"/>
      <c r="Q407" s="393"/>
      <c r="R407" s="393"/>
      <c r="S407" s="393"/>
      <c r="T407" s="393"/>
    </row>
    <row r="408" spans="7:20" ht="12.75">
      <c r="G408" s="393"/>
      <c r="H408" s="393"/>
      <c r="I408" s="393"/>
      <c r="J408" s="393"/>
      <c r="K408" s="393"/>
      <c r="L408" s="393"/>
      <c r="M408" s="393"/>
      <c r="N408" s="393"/>
      <c r="O408" s="393"/>
      <c r="P408" s="393"/>
      <c r="Q408" s="393"/>
      <c r="R408" s="393"/>
      <c r="S408" s="393"/>
      <c r="T408" s="393"/>
    </row>
    <row r="409" spans="7:20" ht="12.75">
      <c r="G409" s="393"/>
      <c r="H409" s="393"/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</row>
    <row r="410" spans="7:20" ht="12.75">
      <c r="G410" s="393"/>
      <c r="H410" s="393"/>
      <c r="I410" s="393"/>
      <c r="J410" s="393"/>
      <c r="K410" s="393"/>
      <c r="L410" s="393"/>
      <c r="M410" s="393"/>
      <c r="N410" s="393"/>
      <c r="O410" s="393"/>
      <c r="P410" s="393"/>
      <c r="Q410" s="393"/>
      <c r="R410" s="393"/>
      <c r="S410" s="393"/>
      <c r="T410" s="393"/>
    </row>
    <row r="411" spans="7:20" ht="12.75">
      <c r="G411" s="393"/>
      <c r="H411" s="393"/>
      <c r="I411" s="393"/>
      <c r="J411" s="393"/>
      <c r="K411" s="393"/>
      <c r="L411" s="393"/>
      <c r="M411" s="393"/>
      <c r="N411" s="393"/>
      <c r="O411" s="393"/>
      <c r="P411" s="393"/>
      <c r="Q411" s="393"/>
      <c r="R411" s="393"/>
      <c r="S411" s="393"/>
      <c r="T411" s="393"/>
    </row>
    <row r="412" spans="7:20" ht="12.75">
      <c r="G412" s="393"/>
      <c r="H412" s="393"/>
      <c r="I412" s="393"/>
      <c r="J412" s="393"/>
      <c r="K412" s="393"/>
      <c r="L412" s="393"/>
      <c r="M412" s="393"/>
      <c r="N412" s="393"/>
      <c r="O412" s="393"/>
      <c r="P412" s="393"/>
      <c r="Q412" s="393"/>
      <c r="R412" s="393"/>
      <c r="S412" s="393"/>
      <c r="T412" s="393"/>
    </row>
    <row r="413" spans="7:20" ht="12.75">
      <c r="G413" s="393"/>
      <c r="H413" s="393"/>
      <c r="I413" s="393"/>
      <c r="J413" s="393"/>
      <c r="K413" s="393"/>
      <c r="L413" s="393"/>
      <c r="M413" s="393"/>
      <c r="N413" s="393"/>
      <c r="O413" s="393"/>
      <c r="P413" s="393"/>
      <c r="Q413" s="393"/>
      <c r="R413" s="393"/>
      <c r="S413" s="393"/>
      <c r="T413" s="393"/>
    </row>
    <row r="414" spans="7:20" ht="12.75">
      <c r="G414" s="393"/>
      <c r="H414" s="393"/>
      <c r="I414" s="393"/>
      <c r="J414" s="393"/>
      <c r="K414" s="393"/>
      <c r="L414" s="393"/>
      <c r="M414" s="393"/>
      <c r="N414" s="393"/>
      <c r="O414" s="393"/>
      <c r="P414" s="393"/>
      <c r="Q414" s="393"/>
      <c r="R414" s="393"/>
      <c r="S414" s="393"/>
      <c r="T414" s="393"/>
    </row>
    <row r="415" spans="7:20" ht="12.75">
      <c r="G415" s="393"/>
      <c r="H415" s="393"/>
      <c r="I415" s="393"/>
      <c r="J415" s="393"/>
      <c r="K415" s="393"/>
      <c r="L415" s="393"/>
      <c r="M415" s="393"/>
      <c r="N415" s="393"/>
      <c r="O415" s="393"/>
      <c r="P415" s="393"/>
      <c r="Q415" s="393"/>
      <c r="R415" s="393"/>
      <c r="S415" s="393"/>
      <c r="T415" s="393"/>
    </row>
    <row r="416" spans="7:20" ht="12.75">
      <c r="G416" s="393"/>
      <c r="H416" s="393"/>
      <c r="I416" s="393"/>
      <c r="J416" s="393"/>
      <c r="K416" s="393"/>
      <c r="L416" s="393"/>
      <c r="M416" s="393"/>
      <c r="N416" s="393"/>
      <c r="O416" s="393"/>
      <c r="P416" s="393"/>
      <c r="Q416" s="393"/>
      <c r="R416" s="393"/>
      <c r="S416" s="393"/>
      <c r="T416" s="393"/>
    </row>
    <row r="417" spans="7:20" ht="12.75">
      <c r="G417" s="393"/>
      <c r="H417" s="393"/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3"/>
      <c r="T417" s="393"/>
    </row>
    <row r="418" spans="7:20" ht="12.75">
      <c r="G418" s="393"/>
      <c r="H418" s="393"/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3"/>
      <c r="T418" s="393"/>
    </row>
    <row r="419" spans="7:20" ht="12.75">
      <c r="G419" s="393"/>
      <c r="H419" s="393"/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3"/>
      <c r="T419" s="393"/>
    </row>
  </sheetData>
  <sheetProtection password="EE36" sheet="1" formatCells="0" formatColumns="0" formatRows="0" insertColumns="0" insertRows="0" insertHyperlinks="0" deleteColumns="0" deleteRows="0" sort="0" autoFilter="0" pivotTables="0"/>
  <mergeCells count="12">
    <mergeCell ref="B5:E5"/>
    <mergeCell ref="F5:F6"/>
    <mergeCell ref="G5:G6"/>
    <mergeCell ref="J5:J6"/>
    <mergeCell ref="R5:R6"/>
    <mergeCell ref="J4:Q4"/>
    <mergeCell ref="A31:F31"/>
    <mergeCell ref="G31:I31"/>
    <mergeCell ref="A4:A6"/>
    <mergeCell ref="B4:F4"/>
    <mergeCell ref="G4:I4"/>
    <mergeCell ref="R4:T4"/>
  </mergeCells>
  <printOptions horizontalCentered="1"/>
  <pageMargins left="0.3937007874015748" right="0.35433070866141736" top="0.55" bottom="0.6692913385826772" header="0.15748031496062992" footer="0.3937007874015748"/>
  <pageSetup horizontalDpi="600" verticalDpi="600" orientation="landscape" paperSize="9" scale="75" r:id="rId1"/>
  <headerFooter alignWithMargins="0">
    <oddHeader>&amp;L&amp;"Times New Roman,Normál"&amp;12Mezőgazdasági Szakigazgatási Hivatal&amp;C
&amp;"Times New Roman,Normál"&amp;12&amp;UElszámolás 
&amp;U
PÉP-ben és KFÁ-ban résztvevőkkel kapcsolatos 2008. évi többletkiadásokra kapott támogatásról  
&amp;R3/d.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="79" zoomScaleNormal="79" zoomScalePageLayoutView="0" workbookViewId="0" topLeftCell="A1">
      <pane xSplit="3" ySplit="2" topLeftCell="L3" activePane="bottomRight" state="frozen"/>
      <selection pane="topLeft" activeCell="D142" sqref="D142"/>
      <selection pane="topRight" activeCell="D142" sqref="D142"/>
      <selection pane="bottomLeft" activeCell="D142" sqref="D142"/>
      <selection pane="bottomRight" activeCell="AA25" sqref="AA25"/>
    </sheetView>
  </sheetViews>
  <sheetFormatPr defaultColWidth="9.140625" defaultRowHeight="15"/>
  <cols>
    <col min="1" max="2" width="9.140625" style="1" customWidth="1"/>
    <col min="3" max="3" width="12.00390625" style="1" bestFit="1" customWidth="1"/>
    <col min="4" max="22" width="9.140625" style="1" customWidth="1"/>
    <col min="23" max="24" width="10.57421875" style="1" bestFit="1" customWidth="1"/>
    <col min="25" max="16384" width="9.140625" style="1" customWidth="1"/>
  </cols>
  <sheetData>
    <row r="1" spans="23:24" ht="12.75">
      <c r="W1" s="615" t="s">
        <v>0</v>
      </c>
      <c r="X1" s="615"/>
    </row>
    <row r="2" spans="1:24" s="3" customFormat="1" ht="25.5">
      <c r="A2" s="613" t="s">
        <v>1</v>
      </c>
      <c r="B2" s="613"/>
      <c r="C2" s="613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</row>
    <row r="3" spans="1:24" s="3" customFormat="1" ht="12.75">
      <c r="A3" s="613" t="s">
        <v>23</v>
      </c>
      <c r="B3" s="613" t="s">
        <v>24</v>
      </c>
      <c r="C3" s="2" t="s">
        <v>25</v>
      </c>
      <c r="D3" s="4">
        <v>2203</v>
      </c>
      <c r="E3" s="4">
        <v>8448</v>
      </c>
      <c r="F3" s="4">
        <v>15547</v>
      </c>
      <c r="G3" s="4">
        <v>9901</v>
      </c>
      <c r="H3" s="4">
        <v>9874</v>
      </c>
      <c r="I3" s="4">
        <v>25620</v>
      </c>
      <c r="J3" s="4">
        <v>8109</v>
      </c>
      <c r="K3" s="4">
        <v>9724</v>
      </c>
      <c r="L3" s="4">
        <v>2085</v>
      </c>
      <c r="M3" s="4">
        <v>514</v>
      </c>
      <c r="N3" s="4">
        <v>1863</v>
      </c>
      <c r="O3" s="4">
        <v>4261</v>
      </c>
      <c r="P3" s="4">
        <v>15070</v>
      </c>
      <c r="Q3" s="4">
        <v>3308</v>
      </c>
      <c r="R3" s="4">
        <v>23306</v>
      </c>
      <c r="S3" s="4">
        <v>3850</v>
      </c>
      <c r="T3" s="4">
        <v>9675</v>
      </c>
      <c r="U3" s="4">
        <v>12227</v>
      </c>
      <c r="V3" s="4">
        <v>6156</v>
      </c>
      <c r="W3" s="4">
        <v>405078</v>
      </c>
      <c r="X3" s="4">
        <f aca="true" t="shared" si="0" ref="X3:X8">SUM(D3:W3)</f>
        <v>576819</v>
      </c>
    </row>
    <row r="4" spans="1:24" s="3" customFormat="1" ht="12.75">
      <c r="A4" s="613"/>
      <c r="B4" s="613"/>
      <c r="C4" s="2" t="s">
        <v>26</v>
      </c>
      <c r="D4" s="4">
        <v>146</v>
      </c>
      <c r="E4" s="4">
        <v>2358</v>
      </c>
      <c r="F4" s="4">
        <v>9812</v>
      </c>
      <c r="G4" s="4">
        <v>1595</v>
      </c>
      <c r="H4" s="4">
        <v>3672</v>
      </c>
      <c r="I4" s="4">
        <v>1220</v>
      </c>
      <c r="J4" s="4">
        <v>0</v>
      </c>
      <c r="K4" s="4">
        <v>2248</v>
      </c>
      <c r="L4" s="4">
        <v>506</v>
      </c>
      <c r="M4" s="4">
        <v>0</v>
      </c>
      <c r="N4" s="4">
        <v>0</v>
      </c>
      <c r="O4" s="4">
        <v>0</v>
      </c>
      <c r="P4" s="4">
        <v>2691</v>
      </c>
      <c r="Q4" s="4">
        <v>452</v>
      </c>
      <c r="R4" s="4">
        <v>13078</v>
      </c>
      <c r="S4" s="4">
        <v>0</v>
      </c>
      <c r="T4" s="4">
        <v>768</v>
      </c>
      <c r="U4" s="4">
        <v>2352</v>
      </c>
      <c r="V4" s="4">
        <v>0</v>
      </c>
      <c r="W4" s="4">
        <v>130760</v>
      </c>
      <c r="X4" s="4">
        <f t="shared" si="0"/>
        <v>171658</v>
      </c>
    </row>
    <row r="5" spans="1:24" s="3" customFormat="1" ht="12.75">
      <c r="A5" s="613"/>
      <c r="B5" s="613"/>
      <c r="C5" s="2" t="s">
        <v>27</v>
      </c>
      <c r="D5" s="4">
        <f aca="true" t="shared" si="1" ref="D5:W5">D3-D4</f>
        <v>2057</v>
      </c>
      <c r="E5" s="4">
        <f t="shared" si="1"/>
        <v>6090</v>
      </c>
      <c r="F5" s="4">
        <f t="shared" si="1"/>
        <v>5735</v>
      </c>
      <c r="G5" s="4">
        <f t="shared" si="1"/>
        <v>8306</v>
      </c>
      <c r="H5" s="4">
        <f t="shared" si="1"/>
        <v>6202</v>
      </c>
      <c r="I5" s="4">
        <f t="shared" si="1"/>
        <v>24400</v>
      </c>
      <c r="J5" s="4">
        <f t="shared" si="1"/>
        <v>8109</v>
      </c>
      <c r="K5" s="4">
        <f t="shared" si="1"/>
        <v>7476</v>
      </c>
      <c r="L5" s="4">
        <f t="shared" si="1"/>
        <v>1579</v>
      </c>
      <c r="M5" s="4">
        <f t="shared" si="1"/>
        <v>514</v>
      </c>
      <c r="N5" s="4">
        <f t="shared" si="1"/>
        <v>1863</v>
      </c>
      <c r="O5" s="4">
        <f t="shared" si="1"/>
        <v>4261</v>
      </c>
      <c r="P5" s="4">
        <f t="shared" si="1"/>
        <v>12379</v>
      </c>
      <c r="Q5" s="4">
        <f t="shared" si="1"/>
        <v>2856</v>
      </c>
      <c r="R5" s="4">
        <f t="shared" si="1"/>
        <v>10228</v>
      </c>
      <c r="S5" s="4">
        <f t="shared" si="1"/>
        <v>3850</v>
      </c>
      <c r="T5" s="4">
        <f t="shared" si="1"/>
        <v>8907</v>
      </c>
      <c r="U5" s="4">
        <f t="shared" si="1"/>
        <v>9875</v>
      </c>
      <c r="V5" s="4">
        <f t="shared" si="1"/>
        <v>6156</v>
      </c>
      <c r="W5" s="4">
        <f t="shared" si="1"/>
        <v>274318</v>
      </c>
      <c r="X5" s="4">
        <f t="shared" si="0"/>
        <v>405161</v>
      </c>
    </row>
    <row r="6" spans="1:24" s="3" customFormat="1" ht="12.75">
      <c r="A6" s="613"/>
      <c r="B6" s="613" t="s">
        <v>28</v>
      </c>
      <c r="C6" s="2" t="s">
        <v>25</v>
      </c>
      <c r="D6" s="4">
        <v>7509</v>
      </c>
      <c r="E6" s="4">
        <v>5408</v>
      </c>
      <c r="F6" s="4">
        <v>17728</v>
      </c>
      <c r="G6" s="4">
        <v>15542</v>
      </c>
      <c r="H6" s="4">
        <v>9692</v>
      </c>
      <c r="I6" s="4">
        <v>29172</v>
      </c>
      <c r="J6" s="4">
        <v>22538</v>
      </c>
      <c r="K6" s="4">
        <v>5924</v>
      </c>
      <c r="L6" s="4">
        <v>2061</v>
      </c>
      <c r="M6" s="4">
        <v>848</v>
      </c>
      <c r="N6" s="4">
        <v>280</v>
      </c>
      <c r="O6" s="4">
        <v>19168</v>
      </c>
      <c r="P6" s="4">
        <v>10438</v>
      </c>
      <c r="Q6" s="4">
        <v>3033</v>
      </c>
      <c r="R6" s="4">
        <v>31214</v>
      </c>
      <c r="S6" s="4">
        <v>1344</v>
      </c>
      <c r="T6" s="4">
        <v>6468</v>
      </c>
      <c r="U6" s="4">
        <v>4732</v>
      </c>
      <c r="V6" s="4">
        <v>5612</v>
      </c>
      <c r="W6" s="4">
        <v>364515</v>
      </c>
      <c r="X6" s="4">
        <f t="shared" si="0"/>
        <v>563226</v>
      </c>
    </row>
    <row r="7" spans="1:24" s="3" customFormat="1" ht="12.75">
      <c r="A7" s="613"/>
      <c r="B7" s="613"/>
      <c r="C7" s="2" t="s">
        <v>26</v>
      </c>
      <c r="D7" s="4">
        <v>255</v>
      </c>
      <c r="E7" s="4">
        <v>2473</v>
      </c>
      <c r="F7" s="4">
        <v>10069</v>
      </c>
      <c r="G7" s="4">
        <v>1595</v>
      </c>
      <c r="H7" s="4">
        <v>3493</v>
      </c>
      <c r="I7" s="4">
        <v>4642</v>
      </c>
      <c r="J7" s="4">
        <v>1428</v>
      </c>
      <c r="K7" s="4">
        <v>646</v>
      </c>
      <c r="L7" s="4">
        <v>723</v>
      </c>
      <c r="M7" s="4">
        <v>335</v>
      </c>
      <c r="N7" s="4">
        <v>26</v>
      </c>
      <c r="O7" s="4">
        <v>614</v>
      </c>
      <c r="P7" s="4">
        <v>3915</v>
      </c>
      <c r="Q7" s="4">
        <v>2453</v>
      </c>
      <c r="R7" s="4">
        <v>13078</v>
      </c>
      <c r="S7" s="4">
        <v>0</v>
      </c>
      <c r="T7" s="4">
        <v>204</v>
      </c>
      <c r="U7" s="4">
        <v>1000</v>
      </c>
      <c r="V7" s="4">
        <v>3034</v>
      </c>
      <c r="W7" s="4">
        <v>163078</v>
      </c>
      <c r="X7" s="4">
        <f t="shared" si="0"/>
        <v>213061</v>
      </c>
    </row>
    <row r="8" spans="1:24" s="3" customFormat="1" ht="12.75">
      <c r="A8" s="613"/>
      <c r="B8" s="613"/>
      <c r="C8" s="2" t="s">
        <v>27</v>
      </c>
      <c r="D8" s="4">
        <f aca="true" t="shared" si="2" ref="D8:W8">D6-D7</f>
        <v>7254</v>
      </c>
      <c r="E8" s="4">
        <f t="shared" si="2"/>
        <v>2935</v>
      </c>
      <c r="F8" s="4">
        <f t="shared" si="2"/>
        <v>7659</v>
      </c>
      <c r="G8" s="4">
        <f t="shared" si="2"/>
        <v>13947</v>
      </c>
      <c r="H8" s="4">
        <f t="shared" si="2"/>
        <v>6199</v>
      </c>
      <c r="I8" s="4">
        <f t="shared" si="2"/>
        <v>24530</v>
      </c>
      <c r="J8" s="4">
        <f t="shared" si="2"/>
        <v>21110</v>
      </c>
      <c r="K8" s="4">
        <f t="shared" si="2"/>
        <v>5278</v>
      </c>
      <c r="L8" s="4">
        <f t="shared" si="2"/>
        <v>1338</v>
      </c>
      <c r="M8" s="4">
        <f t="shared" si="2"/>
        <v>513</v>
      </c>
      <c r="N8" s="4">
        <f t="shared" si="2"/>
        <v>254</v>
      </c>
      <c r="O8" s="4">
        <f t="shared" si="2"/>
        <v>18554</v>
      </c>
      <c r="P8" s="4">
        <f t="shared" si="2"/>
        <v>6523</v>
      </c>
      <c r="Q8" s="4">
        <f t="shared" si="2"/>
        <v>580</v>
      </c>
      <c r="R8" s="4">
        <f t="shared" si="2"/>
        <v>18136</v>
      </c>
      <c r="S8" s="4">
        <f t="shared" si="2"/>
        <v>1344</v>
      </c>
      <c r="T8" s="4">
        <f t="shared" si="2"/>
        <v>6264</v>
      </c>
      <c r="U8" s="4">
        <f t="shared" si="2"/>
        <v>3732</v>
      </c>
      <c r="V8" s="4">
        <f t="shared" si="2"/>
        <v>2578</v>
      </c>
      <c r="W8" s="4">
        <f t="shared" si="2"/>
        <v>201437</v>
      </c>
      <c r="X8" s="4">
        <f t="shared" si="0"/>
        <v>350165</v>
      </c>
    </row>
    <row r="9" spans="1:24" s="3" customFormat="1" ht="25.5" customHeight="1">
      <c r="A9" s="614" t="s">
        <v>29</v>
      </c>
      <c r="B9" s="614"/>
      <c r="C9" s="614"/>
      <c r="D9" s="5">
        <f aca="true" t="shared" si="3" ref="D9:X9">D8-D5</f>
        <v>5197</v>
      </c>
      <c r="E9" s="5">
        <f t="shared" si="3"/>
        <v>-3155</v>
      </c>
      <c r="F9" s="5">
        <f t="shared" si="3"/>
        <v>1924</v>
      </c>
      <c r="G9" s="5">
        <f t="shared" si="3"/>
        <v>5641</v>
      </c>
      <c r="H9" s="5">
        <f t="shared" si="3"/>
        <v>-3</v>
      </c>
      <c r="I9" s="5">
        <f t="shared" si="3"/>
        <v>130</v>
      </c>
      <c r="J9" s="5">
        <f t="shared" si="3"/>
        <v>13001</v>
      </c>
      <c r="K9" s="5">
        <f t="shared" si="3"/>
        <v>-2198</v>
      </c>
      <c r="L9" s="5">
        <f t="shared" si="3"/>
        <v>-241</v>
      </c>
      <c r="M9" s="5">
        <f t="shared" si="3"/>
        <v>-1</v>
      </c>
      <c r="N9" s="5">
        <f t="shared" si="3"/>
        <v>-1609</v>
      </c>
      <c r="O9" s="5">
        <f t="shared" si="3"/>
        <v>14293</v>
      </c>
      <c r="P9" s="5">
        <f t="shared" si="3"/>
        <v>-5856</v>
      </c>
      <c r="Q9" s="5">
        <f t="shared" si="3"/>
        <v>-2276</v>
      </c>
      <c r="R9" s="5">
        <f t="shared" si="3"/>
        <v>7908</v>
      </c>
      <c r="S9" s="5">
        <f t="shared" si="3"/>
        <v>-2506</v>
      </c>
      <c r="T9" s="5">
        <f t="shared" si="3"/>
        <v>-2643</v>
      </c>
      <c r="U9" s="5">
        <f t="shared" si="3"/>
        <v>-6143</v>
      </c>
      <c r="V9" s="5">
        <f t="shared" si="3"/>
        <v>-3578</v>
      </c>
      <c r="W9" s="5">
        <f t="shared" si="3"/>
        <v>-72881</v>
      </c>
      <c r="X9" s="5">
        <f t="shared" si="3"/>
        <v>-54996</v>
      </c>
    </row>
    <row r="10" spans="1:24" s="7" customFormat="1" ht="12.75">
      <c r="A10" s="613" t="s">
        <v>30</v>
      </c>
      <c r="B10" s="613" t="s">
        <v>24</v>
      </c>
      <c r="C10" s="2" t="s">
        <v>25</v>
      </c>
      <c r="D10" s="6">
        <v>47172</v>
      </c>
      <c r="E10" s="6">
        <v>153808</v>
      </c>
      <c r="F10" s="6">
        <v>128897</v>
      </c>
      <c r="G10" s="6">
        <v>94978</v>
      </c>
      <c r="H10" s="6">
        <v>19105</v>
      </c>
      <c r="I10" s="6">
        <v>67806</v>
      </c>
      <c r="J10" s="6">
        <v>50512</v>
      </c>
      <c r="K10" s="6">
        <v>65767</v>
      </c>
      <c r="L10" s="6">
        <v>28587</v>
      </c>
      <c r="M10" s="6">
        <v>30842</v>
      </c>
      <c r="N10" s="6">
        <v>9206</v>
      </c>
      <c r="O10" s="6">
        <v>131831</v>
      </c>
      <c r="P10" s="6">
        <v>109336</v>
      </c>
      <c r="Q10" s="6">
        <v>53101</v>
      </c>
      <c r="R10" s="6">
        <v>58410</v>
      </c>
      <c r="S10" s="6">
        <v>17220</v>
      </c>
      <c r="T10" s="6">
        <v>44767</v>
      </c>
      <c r="U10" s="6">
        <v>81201</v>
      </c>
      <c r="V10" s="6">
        <v>43071</v>
      </c>
      <c r="W10" s="6">
        <v>653106</v>
      </c>
      <c r="X10" s="4">
        <f aca="true" t="shared" si="4" ref="X10:X15">SUM(D10:W10)</f>
        <v>1888723</v>
      </c>
    </row>
    <row r="11" spans="1:24" s="7" customFormat="1" ht="12.75">
      <c r="A11" s="613"/>
      <c r="B11" s="613"/>
      <c r="C11" s="2" t="s">
        <v>26</v>
      </c>
      <c r="D11" s="6">
        <v>1031</v>
      </c>
      <c r="E11" s="6">
        <v>5508</v>
      </c>
      <c r="F11" s="6">
        <v>38325</v>
      </c>
      <c r="G11" s="6">
        <v>35710</v>
      </c>
      <c r="H11" s="6">
        <v>4013</v>
      </c>
      <c r="I11" s="6">
        <v>7194</v>
      </c>
      <c r="J11" s="6">
        <v>4583</v>
      </c>
      <c r="K11" s="6">
        <v>4438</v>
      </c>
      <c r="L11" s="6">
        <v>4821</v>
      </c>
      <c r="M11" s="6">
        <v>0</v>
      </c>
      <c r="N11" s="6">
        <v>0</v>
      </c>
      <c r="O11" s="6">
        <v>0</v>
      </c>
      <c r="P11" s="6">
        <v>2742</v>
      </c>
      <c r="Q11" s="6">
        <v>4921</v>
      </c>
      <c r="R11" s="6">
        <v>0</v>
      </c>
      <c r="S11" s="6">
        <v>3420</v>
      </c>
      <c r="T11" s="6">
        <v>8324</v>
      </c>
      <c r="U11" s="6">
        <v>6015</v>
      </c>
      <c r="V11" s="6">
        <v>0</v>
      </c>
      <c r="W11" s="6">
        <v>113641</v>
      </c>
      <c r="X11" s="4">
        <f t="shared" si="4"/>
        <v>244686</v>
      </c>
    </row>
    <row r="12" spans="1:24" s="7" customFormat="1" ht="12.75">
      <c r="A12" s="613"/>
      <c r="B12" s="613"/>
      <c r="C12" s="2" t="s">
        <v>27</v>
      </c>
      <c r="D12" s="6">
        <f aca="true" t="shared" si="5" ref="D12:W12">D10-D11</f>
        <v>46141</v>
      </c>
      <c r="E12" s="6">
        <f t="shared" si="5"/>
        <v>148300</v>
      </c>
      <c r="F12" s="6">
        <f t="shared" si="5"/>
        <v>90572</v>
      </c>
      <c r="G12" s="6">
        <f t="shared" si="5"/>
        <v>59268</v>
      </c>
      <c r="H12" s="6">
        <f t="shared" si="5"/>
        <v>15092</v>
      </c>
      <c r="I12" s="6">
        <f t="shared" si="5"/>
        <v>60612</v>
      </c>
      <c r="J12" s="6">
        <f t="shared" si="5"/>
        <v>45929</v>
      </c>
      <c r="K12" s="6">
        <f t="shared" si="5"/>
        <v>61329</v>
      </c>
      <c r="L12" s="6">
        <f t="shared" si="5"/>
        <v>23766</v>
      </c>
      <c r="M12" s="6">
        <f t="shared" si="5"/>
        <v>30842</v>
      </c>
      <c r="N12" s="6">
        <f t="shared" si="5"/>
        <v>9206</v>
      </c>
      <c r="O12" s="6">
        <f t="shared" si="5"/>
        <v>131831</v>
      </c>
      <c r="P12" s="6">
        <f t="shared" si="5"/>
        <v>106594</v>
      </c>
      <c r="Q12" s="6">
        <f t="shared" si="5"/>
        <v>48180</v>
      </c>
      <c r="R12" s="6">
        <f t="shared" si="5"/>
        <v>58410</v>
      </c>
      <c r="S12" s="6">
        <f t="shared" si="5"/>
        <v>13800</v>
      </c>
      <c r="T12" s="6">
        <f t="shared" si="5"/>
        <v>36443</v>
      </c>
      <c r="U12" s="6">
        <f t="shared" si="5"/>
        <v>75186</v>
      </c>
      <c r="V12" s="6">
        <f t="shared" si="5"/>
        <v>43071</v>
      </c>
      <c r="W12" s="6">
        <f t="shared" si="5"/>
        <v>539465</v>
      </c>
      <c r="X12" s="4">
        <f t="shared" si="4"/>
        <v>1644037</v>
      </c>
    </row>
    <row r="13" spans="1:24" s="7" customFormat="1" ht="12.75">
      <c r="A13" s="613"/>
      <c r="B13" s="613" t="s">
        <v>28</v>
      </c>
      <c r="C13" s="2" t="s">
        <v>25</v>
      </c>
      <c r="D13" s="6">
        <v>57001</v>
      </c>
      <c r="E13" s="6">
        <v>233610</v>
      </c>
      <c r="F13" s="6">
        <v>122529</v>
      </c>
      <c r="G13" s="6">
        <v>108605</v>
      </c>
      <c r="H13" s="6">
        <v>82287</v>
      </c>
      <c r="I13" s="6">
        <v>59425</v>
      </c>
      <c r="J13" s="6">
        <v>69737</v>
      </c>
      <c r="K13" s="6">
        <v>53011</v>
      </c>
      <c r="L13" s="6">
        <v>30018</v>
      </c>
      <c r="M13" s="6">
        <v>50882</v>
      </c>
      <c r="N13" s="6">
        <v>15325</v>
      </c>
      <c r="O13" s="6">
        <v>412654</v>
      </c>
      <c r="P13" s="6">
        <v>135069</v>
      </c>
      <c r="Q13" s="6">
        <v>43622</v>
      </c>
      <c r="R13" s="6">
        <v>76113</v>
      </c>
      <c r="S13" s="6">
        <v>34299</v>
      </c>
      <c r="T13" s="6">
        <v>35993</v>
      </c>
      <c r="U13" s="6">
        <v>84853</v>
      </c>
      <c r="V13" s="6">
        <v>39263</v>
      </c>
      <c r="W13" s="6">
        <v>347675</v>
      </c>
      <c r="X13" s="4">
        <f t="shared" si="4"/>
        <v>2091971</v>
      </c>
    </row>
    <row r="14" spans="1:24" s="7" customFormat="1" ht="12.75">
      <c r="A14" s="613"/>
      <c r="B14" s="613"/>
      <c r="C14" s="2" t="s">
        <v>26</v>
      </c>
      <c r="D14" s="6">
        <v>1320</v>
      </c>
      <c r="E14" s="6">
        <v>19631</v>
      </c>
      <c r="F14" s="6">
        <v>41107</v>
      </c>
      <c r="G14" s="6">
        <v>35710</v>
      </c>
      <c r="H14" s="6">
        <v>5449</v>
      </c>
      <c r="I14" s="6">
        <v>5791</v>
      </c>
      <c r="J14" s="6">
        <v>12315</v>
      </c>
      <c r="K14" s="6">
        <v>4414</v>
      </c>
      <c r="L14" s="6">
        <v>5782</v>
      </c>
      <c r="M14" s="6">
        <v>12633</v>
      </c>
      <c r="N14" s="6">
        <v>1420</v>
      </c>
      <c r="O14" s="6">
        <v>32274</v>
      </c>
      <c r="P14" s="6">
        <v>4397</v>
      </c>
      <c r="Q14" s="6">
        <v>8284</v>
      </c>
      <c r="R14" s="6">
        <v>0</v>
      </c>
      <c r="S14" s="6">
        <v>2080</v>
      </c>
      <c r="T14" s="6">
        <v>10812</v>
      </c>
      <c r="U14" s="6">
        <v>20564</v>
      </c>
      <c r="V14" s="6">
        <v>18024</v>
      </c>
      <c r="W14" s="6">
        <v>111187</v>
      </c>
      <c r="X14" s="4">
        <f t="shared" si="4"/>
        <v>353194</v>
      </c>
    </row>
    <row r="15" spans="1:24" s="7" customFormat="1" ht="12.75">
      <c r="A15" s="613"/>
      <c r="B15" s="613"/>
      <c r="C15" s="2" t="s">
        <v>27</v>
      </c>
      <c r="D15" s="6">
        <f aca="true" t="shared" si="6" ref="D15:W15">D13-D14</f>
        <v>55681</v>
      </c>
      <c r="E15" s="6">
        <f t="shared" si="6"/>
        <v>213979</v>
      </c>
      <c r="F15" s="6">
        <f t="shared" si="6"/>
        <v>81422</v>
      </c>
      <c r="G15" s="6">
        <f t="shared" si="6"/>
        <v>72895</v>
      </c>
      <c r="H15" s="6">
        <f t="shared" si="6"/>
        <v>76838</v>
      </c>
      <c r="I15" s="6">
        <f t="shared" si="6"/>
        <v>53634</v>
      </c>
      <c r="J15" s="6">
        <f t="shared" si="6"/>
        <v>57422</v>
      </c>
      <c r="K15" s="6">
        <f t="shared" si="6"/>
        <v>48597</v>
      </c>
      <c r="L15" s="6">
        <f t="shared" si="6"/>
        <v>24236</v>
      </c>
      <c r="M15" s="6">
        <f t="shared" si="6"/>
        <v>38249</v>
      </c>
      <c r="N15" s="6">
        <f t="shared" si="6"/>
        <v>13905</v>
      </c>
      <c r="O15" s="6">
        <f t="shared" si="6"/>
        <v>380380</v>
      </c>
      <c r="P15" s="6">
        <f t="shared" si="6"/>
        <v>130672</v>
      </c>
      <c r="Q15" s="6">
        <f t="shared" si="6"/>
        <v>35338</v>
      </c>
      <c r="R15" s="6">
        <f t="shared" si="6"/>
        <v>76113</v>
      </c>
      <c r="S15" s="6">
        <f t="shared" si="6"/>
        <v>32219</v>
      </c>
      <c r="T15" s="6">
        <f t="shared" si="6"/>
        <v>25181</v>
      </c>
      <c r="U15" s="6">
        <f t="shared" si="6"/>
        <v>64289</v>
      </c>
      <c r="V15" s="6">
        <f t="shared" si="6"/>
        <v>21239</v>
      </c>
      <c r="W15" s="6">
        <f t="shared" si="6"/>
        <v>236488</v>
      </c>
      <c r="X15" s="4">
        <f t="shared" si="4"/>
        <v>1738777</v>
      </c>
    </row>
    <row r="16" spans="1:24" s="7" customFormat="1" ht="25.5" customHeight="1">
      <c r="A16" s="614" t="s">
        <v>29</v>
      </c>
      <c r="B16" s="614"/>
      <c r="C16" s="614"/>
      <c r="D16" s="8">
        <f aca="true" t="shared" si="7" ref="D16:X16">D15-D12</f>
        <v>9540</v>
      </c>
      <c r="E16" s="8">
        <f t="shared" si="7"/>
        <v>65679</v>
      </c>
      <c r="F16" s="8">
        <f t="shared" si="7"/>
        <v>-9150</v>
      </c>
      <c r="G16" s="8">
        <f t="shared" si="7"/>
        <v>13627</v>
      </c>
      <c r="H16" s="8">
        <f t="shared" si="7"/>
        <v>61746</v>
      </c>
      <c r="I16" s="8">
        <f t="shared" si="7"/>
        <v>-6978</v>
      </c>
      <c r="J16" s="8">
        <f t="shared" si="7"/>
        <v>11493</v>
      </c>
      <c r="K16" s="8">
        <f t="shared" si="7"/>
        <v>-12732</v>
      </c>
      <c r="L16" s="8">
        <f t="shared" si="7"/>
        <v>470</v>
      </c>
      <c r="M16" s="8">
        <f t="shared" si="7"/>
        <v>7407</v>
      </c>
      <c r="N16" s="8">
        <f t="shared" si="7"/>
        <v>4699</v>
      </c>
      <c r="O16" s="8">
        <f t="shared" si="7"/>
        <v>248549</v>
      </c>
      <c r="P16" s="8">
        <f>P15-P12</f>
        <v>24078</v>
      </c>
      <c r="Q16" s="8">
        <f t="shared" si="7"/>
        <v>-12842</v>
      </c>
      <c r="R16" s="8">
        <f t="shared" si="7"/>
        <v>17703</v>
      </c>
      <c r="S16" s="8">
        <f t="shared" si="7"/>
        <v>18419</v>
      </c>
      <c r="T16" s="8">
        <f t="shared" si="7"/>
        <v>-11262</v>
      </c>
      <c r="U16" s="8">
        <f t="shared" si="7"/>
        <v>-10897</v>
      </c>
      <c r="V16" s="8">
        <f t="shared" si="7"/>
        <v>-21832</v>
      </c>
      <c r="W16" s="8">
        <f t="shared" si="7"/>
        <v>-302977</v>
      </c>
      <c r="X16" s="8">
        <f t="shared" si="7"/>
        <v>94740</v>
      </c>
    </row>
    <row r="17" spans="1:24" s="7" customFormat="1" ht="12.75">
      <c r="A17" s="613" t="s">
        <v>31</v>
      </c>
      <c r="B17" s="613" t="s">
        <v>24</v>
      </c>
      <c r="C17" s="2" t="s">
        <v>25</v>
      </c>
      <c r="D17" s="6">
        <v>0</v>
      </c>
      <c r="E17" s="6">
        <v>1492</v>
      </c>
      <c r="F17" s="6">
        <v>0</v>
      </c>
      <c r="G17" s="6">
        <v>0</v>
      </c>
      <c r="H17" s="6">
        <v>0</v>
      </c>
      <c r="I17" s="6">
        <v>0</v>
      </c>
      <c r="J17" s="6">
        <v>3352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27</v>
      </c>
      <c r="Q17" s="6">
        <v>143</v>
      </c>
      <c r="R17" s="6">
        <v>0</v>
      </c>
      <c r="S17" s="6">
        <v>0</v>
      </c>
      <c r="T17" s="6">
        <v>649</v>
      </c>
      <c r="U17" s="6">
        <v>0</v>
      </c>
      <c r="V17" s="6">
        <v>0</v>
      </c>
      <c r="W17" s="6">
        <v>1578009</v>
      </c>
      <c r="X17" s="4">
        <f aca="true" t="shared" si="8" ref="X17:X22">SUM(D17:W17)</f>
        <v>1583672</v>
      </c>
    </row>
    <row r="18" spans="1:24" s="7" customFormat="1" ht="12.75">
      <c r="A18" s="613"/>
      <c r="B18" s="613"/>
      <c r="C18" s="2" t="s">
        <v>26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4">
        <f t="shared" si="8"/>
        <v>0</v>
      </c>
    </row>
    <row r="19" spans="1:24" s="7" customFormat="1" ht="12.75">
      <c r="A19" s="613"/>
      <c r="B19" s="613"/>
      <c r="C19" s="2" t="s">
        <v>27</v>
      </c>
      <c r="D19" s="6">
        <f aca="true" t="shared" si="9" ref="D19:R19">D17-D18</f>
        <v>0</v>
      </c>
      <c r="E19" s="6">
        <f t="shared" si="9"/>
        <v>1492</v>
      </c>
      <c r="F19" s="6">
        <f t="shared" si="9"/>
        <v>0</v>
      </c>
      <c r="G19" s="6">
        <f t="shared" si="9"/>
        <v>0</v>
      </c>
      <c r="H19" s="6">
        <f t="shared" si="9"/>
        <v>0</v>
      </c>
      <c r="I19" s="6">
        <f t="shared" si="9"/>
        <v>0</v>
      </c>
      <c r="J19" s="6">
        <f t="shared" si="9"/>
        <v>3352</v>
      </c>
      <c r="K19" s="6">
        <f t="shared" si="9"/>
        <v>0</v>
      </c>
      <c r="L19" s="6">
        <f t="shared" si="9"/>
        <v>0</v>
      </c>
      <c r="M19" s="6">
        <f t="shared" si="9"/>
        <v>0</v>
      </c>
      <c r="N19" s="6">
        <f t="shared" si="9"/>
        <v>0</v>
      </c>
      <c r="O19" s="6">
        <f t="shared" si="9"/>
        <v>0</v>
      </c>
      <c r="P19" s="6">
        <f t="shared" si="9"/>
        <v>27</v>
      </c>
      <c r="Q19" s="6">
        <f t="shared" si="9"/>
        <v>143</v>
      </c>
      <c r="R19" s="6">
        <f t="shared" si="9"/>
        <v>0</v>
      </c>
      <c r="S19" s="6">
        <v>0</v>
      </c>
      <c r="T19" s="6">
        <f>T17-T18</f>
        <v>649</v>
      </c>
      <c r="U19" s="6">
        <f>U17-U18</f>
        <v>0</v>
      </c>
      <c r="V19" s="6">
        <f>V17-V18</f>
        <v>0</v>
      </c>
      <c r="W19" s="6">
        <f>W17-W18</f>
        <v>1578009</v>
      </c>
      <c r="X19" s="4">
        <f t="shared" si="8"/>
        <v>1583672</v>
      </c>
    </row>
    <row r="20" spans="1:24" s="7" customFormat="1" ht="12.75">
      <c r="A20" s="613"/>
      <c r="B20" s="613" t="s">
        <v>28</v>
      </c>
      <c r="C20" s="2" t="s">
        <v>25</v>
      </c>
      <c r="D20" s="6">
        <v>0</v>
      </c>
      <c r="E20" s="6">
        <v>926</v>
      </c>
      <c r="F20" s="6">
        <v>0</v>
      </c>
      <c r="G20" s="6">
        <v>0</v>
      </c>
      <c r="H20" s="6">
        <v>0</v>
      </c>
      <c r="I20" s="6">
        <v>0</v>
      </c>
      <c r="J20" s="6">
        <v>3130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205</v>
      </c>
      <c r="R20" s="6">
        <v>0</v>
      </c>
      <c r="S20" s="6">
        <v>0</v>
      </c>
      <c r="T20" s="6">
        <v>601</v>
      </c>
      <c r="U20" s="6">
        <v>0</v>
      </c>
      <c r="V20" s="6">
        <v>0</v>
      </c>
      <c r="W20" s="6">
        <v>48354</v>
      </c>
      <c r="X20" s="4">
        <f t="shared" si="8"/>
        <v>53216</v>
      </c>
    </row>
    <row r="21" spans="1:24" s="7" customFormat="1" ht="12.75">
      <c r="A21" s="613"/>
      <c r="B21" s="613"/>
      <c r="C21" s="2" t="s">
        <v>26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4">
        <f t="shared" si="8"/>
        <v>0</v>
      </c>
    </row>
    <row r="22" spans="1:24" s="7" customFormat="1" ht="12.75">
      <c r="A22" s="613"/>
      <c r="B22" s="613"/>
      <c r="C22" s="2" t="s">
        <v>27</v>
      </c>
      <c r="D22" s="6">
        <f aca="true" t="shared" si="10" ref="D22:W22">D20-D21</f>
        <v>0</v>
      </c>
      <c r="E22" s="6">
        <f t="shared" si="10"/>
        <v>926</v>
      </c>
      <c r="F22" s="6">
        <f t="shared" si="10"/>
        <v>0</v>
      </c>
      <c r="G22" s="6">
        <f t="shared" si="10"/>
        <v>0</v>
      </c>
      <c r="H22" s="6">
        <f t="shared" si="10"/>
        <v>0</v>
      </c>
      <c r="I22" s="6">
        <f t="shared" si="10"/>
        <v>0</v>
      </c>
      <c r="J22" s="6">
        <f t="shared" si="10"/>
        <v>3130</v>
      </c>
      <c r="K22" s="6">
        <f t="shared" si="10"/>
        <v>0</v>
      </c>
      <c r="L22" s="6">
        <f t="shared" si="10"/>
        <v>0</v>
      </c>
      <c r="M22" s="6">
        <f t="shared" si="10"/>
        <v>0</v>
      </c>
      <c r="N22" s="6">
        <f t="shared" si="10"/>
        <v>0</v>
      </c>
      <c r="O22" s="6">
        <f t="shared" si="10"/>
        <v>0</v>
      </c>
      <c r="P22" s="6">
        <f t="shared" si="10"/>
        <v>0</v>
      </c>
      <c r="Q22" s="6">
        <f t="shared" si="10"/>
        <v>205</v>
      </c>
      <c r="R22" s="6">
        <f t="shared" si="10"/>
        <v>0</v>
      </c>
      <c r="S22" s="6">
        <f t="shared" si="10"/>
        <v>0</v>
      </c>
      <c r="T22" s="6">
        <f t="shared" si="10"/>
        <v>601</v>
      </c>
      <c r="U22" s="6">
        <f t="shared" si="10"/>
        <v>0</v>
      </c>
      <c r="V22" s="6">
        <f t="shared" si="10"/>
        <v>0</v>
      </c>
      <c r="W22" s="6">
        <f t="shared" si="10"/>
        <v>48354</v>
      </c>
      <c r="X22" s="4">
        <f t="shared" si="8"/>
        <v>53216</v>
      </c>
    </row>
    <row r="23" spans="1:24" s="7" customFormat="1" ht="24.75" customHeight="1">
      <c r="A23" s="614" t="s">
        <v>29</v>
      </c>
      <c r="B23" s="614"/>
      <c r="C23" s="614"/>
      <c r="D23" s="8">
        <f aca="true" t="shared" si="11" ref="D23:X23">D22-D19</f>
        <v>0</v>
      </c>
      <c r="E23" s="8">
        <f t="shared" si="11"/>
        <v>-566</v>
      </c>
      <c r="F23" s="8">
        <f t="shared" si="11"/>
        <v>0</v>
      </c>
      <c r="G23" s="8">
        <f t="shared" si="11"/>
        <v>0</v>
      </c>
      <c r="H23" s="8">
        <f t="shared" si="11"/>
        <v>0</v>
      </c>
      <c r="I23" s="8">
        <f t="shared" si="11"/>
        <v>0</v>
      </c>
      <c r="J23" s="8">
        <f t="shared" si="11"/>
        <v>-222</v>
      </c>
      <c r="K23" s="8">
        <f t="shared" si="11"/>
        <v>0</v>
      </c>
      <c r="L23" s="8">
        <f t="shared" si="11"/>
        <v>0</v>
      </c>
      <c r="M23" s="8">
        <f t="shared" si="11"/>
        <v>0</v>
      </c>
      <c r="N23" s="8">
        <f t="shared" si="11"/>
        <v>0</v>
      </c>
      <c r="O23" s="8">
        <f t="shared" si="11"/>
        <v>0</v>
      </c>
      <c r="P23" s="8">
        <f t="shared" si="11"/>
        <v>-27</v>
      </c>
      <c r="Q23" s="8">
        <f t="shared" si="11"/>
        <v>62</v>
      </c>
      <c r="R23" s="8">
        <f t="shared" si="11"/>
        <v>0</v>
      </c>
      <c r="S23" s="8">
        <f t="shared" si="11"/>
        <v>0</v>
      </c>
      <c r="T23" s="8">
        <f t="shared" si="11"/>
        <v>-48</v>
      </c>
      <c r="U23" s="8">
        <f t="shared" si="11"/>
        <v>0</v>
      </c>
      <c r="V23" s="8">
        <f t="shared" si="11"/>
        <v>0</v>
      </c>
      <c r="W23" s="8">
        <f t="shared" si="11"/>
        <v>-1529655</v>
      </c>
      <c r="X23" s="8">
        <f t="shared" si="11"/>
        <v>-1530456</v>
      </c>
    </row>
    <row r="24" spans="1:24" s="7" customFormat="1" ht="12.75">
      <c r="A24" s="613" t="s">
        <v>22</v>
      </c>
      <c r="B24" s="613" t="s">
        <v>24</v>
      </c>
      <c r="C24" s="2" t="s">
        <v>25</v>
      </c>
      <c r="D24" s="6">
        <f aca="true" t="shared" si="12" ref="D24:W24">SUM(D3,D10,D17)</f>
        <v>49375</v>
      </c>
      <c r="E24" s="6">
        <f t="shared" si="12"/>
        <v>163748</v>
      </c>
      <c r="F24" s="6">
        <f t="shared" si="12"/>
        <v>144444</v>
      </c>
      <c r="G24" s="6">
        <f t="shared" si="12"/>
        <v>104879</v>
      </c>
      <c r="H24" s="6">
        <f t="shared" si="12"/>
        <v>28979</v>
      </c>
      <c r="I24" s="6">
        <f t="shared" si="12"/>
        <v>93426</v>
      </c>
      <c r="J24" s="6">
        <f t="shared" si="12"/>
        <v>61973</v>
      </c>
      <c r="K24" s="6">
        <f t="shared" si="12"/>
        <v>75491</v>
      </c>
      <c r="L24" s="6">
        <f t="shared" si="12"/>
        <v>30672</v>
      </c>
      <c r="M24" s="6">
        <f t="shared" si="12"/>
        <v>31356</v>
      </c>
      <c r="N24" s="6">
        <f t="shared" si="12"/>
        <v>11069</v>
      </c>
      <c r="O24" s="6">
        <f t="shared" si="12"/>
        <v>136092</v>
      </c>
      <c r="P24" s="6">
        <f t="shared" si="12"/>
        <v>124433</v>
      </c>
      <c r="Q24" s="6">
        <f t="shared" si="12"/>
        <v>56552</v>
      </c>
      <c r="R24" s="6">
        <f t="shared" si="12"/>
        <v>81716</v>
      </c>
      <c r="S24" s="6">
        <f t="shared" si="12"/>
        <v>21070</v>
      </c>
      <c r="T24" s="6">
        <f t="shared" si="12"/>
        <v>55091</v>
      </c>
      <c r="U24" s="6">
        <f t="shared" si="12"/>
        <v>93428</v>
      </c>
      <c r="V24" s="6">
        <f t="shared" si="12"/>
        <v>49227</v>
      </c>
      <c r="W24" s="6">
        <f t="shared" si="12"/>
        <v>2636193</v>
      </c>
      <c r="X24" s="4">
        <f aca="true" t="shared" si="13" ref="X24:X29">SUM(D24:W24)</f>
        <v>4049214</v>
      </c>
    </row>
    <row r="25" spans="1:24" s="7" customFormat="1" ht="12.75">
      <c r="A25" s="613"/>
      <c r="B25" s="613"/>
      <c r="C25" s="2" t="s">
        <v>26</v>
      </c>
      <c r="D25" s="6">
        <f aca="true" t="shared" si="14" ref="D25:W25">SUM(D4,D11,D18)</f>
        <v>1177</v>
      </c>
      <c r="E25" s="6">
        <f t="shared" si="14"/>
        <v>7866</v>
      </c>
      <c r="F25" s="6">
        <f t="shared" si="14"/>
        <v>48137</v>
      </c>
      <c r="G25" s="6">
        <f t="shared" si="14"/>
        <v>37305</v>
      </c>
      <c r="H25" s="6">
        <f t="shared" si="14"/>
        <v>7685</v>
      </c>
      <c r="I25" s="6">
        <f t="shared" si="14"/>
        <v>8414</v>
      </c>
      <c r="J25" s="6">
        <f t="shared" si="14"/>
        <v>4583</v>
      </c>
      <c r="K25" s="6">
        <f t="shared" si="14"/>
        <v>6686</v>
      </c>
      <c r="L25" s="6">
        <f t="shared" si="14"/>
        <v>5327</v>
      </c>
      <c r="M25" s="6">
        <f t="shared" si="14"/>
        <v>0</v>
      </c>
      <c r="N25" s="6">
        <f t="shared" si="14"/>
        <v>0</v>
      </c>
      <c r="O25" s="6">
        <f t="shared" si="14"/>
        <v>0</v>
      </c>
      <c r="P25" s="6">
        <f t="shared" si="14"/>
        <v>5433</v>
      </c>
      <c r="Q25" s="6">
        <f t="shared" si="14"/>
        <v>5373</v>
      </c>
      <c r="R25" s="6">
        <f t="shared" si="14"/>
        <v>13078</v>
      </c>
      <c r="S25" s="6">
        <f t="shared" si="14"/>
        <v>3420</v>
      </c>
      <c r="T25" s="6">
        <f t="shared" si="14"/>
        <v>9092</v>
      </c>
      <c r="U25" s="6">
        <f t="shared" si="14"/>
        <v>8367</v>
      </c>
      <c r="V25" s="6">
        <f t="shared" si="14"/>
        <v>0</v>
      </c>
      <c r="W25" s="6">
        <f t="shared" si="14"/>
        <v>244401</v>
      </c>
      <c r="X25" s="4">
        <f t="shared" si="13"/>
        <v>416344</v>
      </c>
    </row>
    <row r="26" spans="1:24" s="7" customFormat="1" ht="12.75">
      <c r="A26" s="613"/>
      <c r="B26" s="613"/>
      <c r="C26" s="2" t="s">
        <v>27</v>
      </c>
      <c r="D26" s="6">
        <f aca="true" t="shared" si="15" ref="D26:W26">SUM(D5,D12,D19)</f>
        <v>48198</v>
      </c>
      <c r="E26" s="6">
        <f t="shared" si="15"/>
        <v>155882</v>
      </c>
      <c r="F26" s="6">
        <f t="shared" si="15"/>
        <v>96307</v>
      </c>
      <c r="G26" s="6">
        <f t="shared" si="15"/>
        <v>67574</v>
      </c>
      <c r="H26" s="6">
        <f t="shared" si="15"/>
        <v>21294</v>
      </c>
      <c r="I26" s="6">
        <f t="shared" si="15"/>
        <v>85012</v>
      </c>
      <c r="J26" s="6">
        <f t="shared" si="15"/>
        <v>57390</v>
      </c>
      <c r="K26" s="6">
        <f t="shared" si="15"/>
        <v>68805</v>
      </c>
      <c r="L26" s="6">
        <f t="shared" si="15"/>
        <v>25345</v>
      </c>
      <c r="M26" s="6">
        <f t="shared" si="15"/>
        <v>31356</v>
      </c>
      <c r="N26" s="6">
        <f t="shared" si="15"/>
        <v>11069</v>
      </c>
      <c r="O26" s="6">
        <f t="shared" si="15"/>
        <v>136092</v>
      </c>
      <c r="P26" s="6">
        <f t="shared" si="15"/>
        <v>119000</v>
      </c>
      <c r="Q26" s="6">
        <f t="shared" si="15"/>
        <v>51179</v>
      </c>
      <c r="R26" s="6">
        <f t="shared" si="15"/>
        <v>68638</v>
      </c>
      <c r="S26" s="6">
        <f t="shared" si="15"/>
        <v>17650</v>
      </c>
      <c r="T26" s="6">
        <f t="shared" si="15"/>
        <v>45999</v>
      </c>
      <c r="U26" s="6">
        <f t="shared" si="15"/>
        <v>85061</v>
      </c>
      <c r="V26" s="6">
        <f t="shared" si="15"/>
        <v>49227</v>
      </c>
      <c r="W26" s="6">
        <f t="shared" si="15"/>
        <v>2391792</v>
      </c>
      <c r="X26" s="4">
        <f t="shared" si="13"/>
        <v>3632870</v>
      </c>
    </row>
    <row r="27" spans="1:24" s="7" customFormat="1" ht="12.75">
      <c r="A27" s="613"/>
      <c r="B27" s="613" t="s">
        <v>28</v>
      </c>
      <c r="C27" s="2" t="s">
        <v>25</v>
      </c>
      <c r="D27" s="6">
        <f aca="true" t="shared" si="16" ref="D27:W27">SUM(D6,D13,D20)</f>
        <v>64510</v>
      </c>
      <c r="E27" s="6">
        <f t="shared" si="16"/>
        <v>239944</v>
      </c>
      <c r="F27" s="6">
        <f t="shared" si="16"/>
        <v>140257</v>
      </c>
      <c r="G27" s="6">
        <f t="shared" si="16"/>
        <v>124147</v>
      </c>
      <c r="H27" s="6">
        <f t="shared" si="16"/>
        <v>91979</v>
      </c>
      <c r="I27" s="6">
        <f t="shared" si="16"/>
        <v>88597</v>
      </c>
      <c r="J27" s="6">
        <f t="shared" si="16"/>
        <v>95405</v>
      </c>
      <c r="K27" s="6">
        <f t="shared" si="16"/>
        <v>58935</v>
      </c>
      <c r="L27" s="6">
        <f t="shared" si="16"/>
        <v>32079</v>
      </c>
      <c r="M27" s="6">
        <f t="shared" si="16"/>
        <v>51730</v>
      </c>
      <c r="N27" s="6">
        <f t="shared" si="16"/>
        <v>15605</v>
      </c>
      <c r="O27" s="6">
        <f t="shared" si="16"/>
        <v>431822</v>
      </c>
      <c r="P27" s="6">
        <f t="shared" si="16"/>
        <v>145507</v>
      </c>
      <c r="Q27" s="6">
        <f t="shared" si="16"/>
        <v>46860</v>
      </c>
      <c r="R27" s="6">
        <f t="shared" si="16"/>
        <v>107327</v>
      </c>
      <c r="S27" s="6">
        <f t="shared" si="16"/>
        <v>35643</v>
      </c>
      <c r="T27" s="6">
        <f t="shared" si="16"/>
        <v>43062</v>
      </c>
      <c r="U27" s="6">
        <f t="shared" si="16"/>
        <v>89585</v>
      </c>
      <c r="V27" s="6">
        <f t="shared" si="16"/>
        <v>44875</v>
      </c>
      <c r="W27" s="6">
        <f t="shared" si="16"/>
        <v>760544</v>
      </c>
      <c r="X27" s="4">
        <f t="shared" si="13"/>
        <v>2708413</v>
      </c>
    </row>
    <row r="28" spans="1:24" s="7" customFormat="1" ht="12.75">
      <c r="A28" s="613"/>
      <c r="B28" s="613"/>
      <c r="C28" s="2" t="s">
        <v>26</v>
      </c>
      <c r="D28" s="6">
        <f aca="true" t="shared" si="17" ref="D28:W28">SUM(D7,D14,D21)</f>
        <v>1575</v>
      </c>
      <c r="E28" s="6">
        <f t="shared" si="17"/>
        <v>22104</v>
      </c>
      <c r="F28" s="6">
        <f t="shared" si="17"/>
        <v>51176</v>
      </c>
      <c r="G28" s="6">
        <f t="shared" si="17"/>
        <v>37305</v>
      </c>
      <c r="H28" s="6">
        <f t="shared" si="17"/>
        <v>8942</v>
      </c>
      <c r="I28" s="6">
        <f t="shared" si="17"/>
        <v>10433</v>
      </c>
      <c r="J28" s="6">
        <f t="shared" si="17"/>
        <v>13743</v>
      </c>
      <c r="K28" s="6">
        <f t="shared" si="17"/>
        <v>5060</v>
      </c>
      <c r="L28" s="6">
        <f t="shared" si="17"/>
        <v>6505</v>
      </c>
      <c r="M28" s="6">
        <f t="shared" si="17"/>
        <v>12968</v>
      </c>
      <c r="N28" s="6">
        <f t="shared" si="17"/>
        <v>1446</v>
      </c>
      <c r="O28" s="6">
        <f t="shared" si="17"/>
        <v>32888</v>
      </c>
      <c r="P28" s="6">
        <f t="shared" si="17"/>
        <v>8312</v>
      </c>
      <c r="Q28" s="6">
        <f t="shared" si="17"/>
        <v>10737</v>
      </c>
      <c r="R28" s="6">
        <f t="shared" si="17"/>
        <v>13078</v>
      </c>
      <c r="S28" s="6">
        <f t="shared" si="17"/>
        <v>2080</v>
      </c>
      <c r="T28" s="6">
        <f t="shared" si="17"/>
        <v>11016</v>
      </c>
      <c r="U28" s="6">
        <f t="shared" si="17"/>
        <v>21564</v>
      </c>
      <c r="V28" s="6">
        <f t="shared" si="17"/>
        <v>21058</v>
      </c>
      <c r="W28" s="6">
        <f t="shared" si="17"/>
        <v>274265</v>
      </c>
      <c r="X28" s="4">
        <f t="shared" si="13"/>
        <v>566255</v>
      </c>
    </row>
    <row r="29" spans="1:24" s="7" customFormat="1" ht="12.75">
      <c r="A29" s="613"/>
      <c r="B29" s="613"/>
      <c r="C29" s="2" t="s">
        <v>27</v>
      </c>
      <c r="D29" s="6">
        <f aca="true" t="shared" si="18" ref="D29:W29">SUM(D8,D15,D22)</f>
        <v>62935</v>
      </c>
      <c r="E29" s="6">
        <f t="shared" si="18"/>
        <v>217840</v>
      </c>
      <c r="F29" s="6">
        <f t="shared" si="18"/>
        <v>89081</v>
      </c>
      <c r="G29" s="6">
        <f t="shared" si="18"/>
        <v>86842</v>
      </c>
      <c r="H29" s="6">
        <f t="shared" si="18"/>
        <v>83037</v>
      </c>
      <c r="I29" s="6">
        <f t="shared" si="18"/>
        <v>78164</v>
      </c>
      <c r="J29" s="6">
        <f t="shared" si="18"/>
        <v>81662</v>
      </c>
      <c r="K29" s="6">
        <f t="shared" si="18"/>
        <v>53875</v>
      </c>
      <c r="L29" s="6">
        <f t="shared" si="18"/>
        <v>25574</v>
      </c>
      <c r="M29" s="6">
        <f t="shared" si="18"/>
        <v>38762</v>
      </c>
      <c r="N29" s="6">
        <f t="shared" si="18"/>
        <v>14159</v>
      </c>
      <c r="O29" s="6">
        <f t="shared" si="18"/>
        <v>398934</v>
      </c>
      <c r="P29" s="6">
        <f t="shared" si="18"/>
        <v>137195</v>
      </c>
      <c r="Q29" s="6">
        <f t="shared" si="18"/>
        <v>36123</v>
      </c>
      <c r="R29" s="6">
        <f t="shared" si="18"/>
        <v>94249</v>
      </c>
      <c r="S29" s="6">
        <f t="shared" si="18"/>
        <v>33563</v>
      </c>
      <c r="T29" s="6">
        <f t="shared" si="18"/>
        <v>32046</v>
      </c>
      <c r="U29" s="6">
        <f t="shared" si="18"/>
        <v>68021</v>
      </c>
      <c r="V29" s="6">
        <f t="shared" si="18"/>
        <v>23817</v>
      </c>
      <c r="W29" s="6">
        <f t="shared" si="18"/>
        <v>486279</v>
      </c>
      <c r="X29" s="4">
        <f t="shared" si="13"/>
        <v>2142158</v>
      </c>
    </row>
    <row r="30" spans="1:24" s="7" customFormat="1" ht="24.75" customHeight="1">
      <c r="A30" s="612" t="s">
        <v>29</v>
      </c>
      <c r="B30" s="612"/>
      <c r="C30" s="612"/>
      <c r="D30" s="9">
        <f aca="true" t="shared" si="19" ref="D30:W30">SUM(D9,D16,D23)</f>
        <v>14737</v>
      </c>
      <c r="E30" s="9">
        <f t="shared" si="19"/>
        <v>61958</v>
      </c>
      <c r="F30" s="9">
        <f t="shared" si="19"/>
        <v>-7226</v>
      </c>
      <c r="G30" s="9">
        <f t="shared" si="19"/>
        <v>19268</v>
      </c>
      <c r="H30" s="9">
        <f t="shared" si="19"/>
        <v>61743</v>
      </c>
      <c r="I30" s="9">
        <f t="shared" si="19"/>
        <v>-6848</v>
      </c>
      <c r="J30" s="9">
        <f t="shared" si="19"/>
        <v>24272</v>
      </c>
      <c r="K30" s="9">
        <f t="shared" si="19"/>
        <v>-14930</v>
      </c>
      <c r="L30" s="9">
        <f t="shared" si="19"/>
        <v>229</v>
      </c>
      <c r="M30" s="9">
        <f t="shared" si="19"/>
        <v>7406</v>
      </c>
      <c r="N30" s="9">
        <f t="shared" si="19"/>
        <v>3090</v>
      </c>
      <c r="O30" s="9">
        <f t="shared" si="19"/>
        <v>262842</v>
      </c>
      <c r="P30" s="9">
        <f t="shared" si="19"/>
        <v>18195</v>
      </c>
      <c r="Q30" s="9">
        <f t="shared" si="19"/>
        <v>-15056</v>
      </c>
      <c r="R30" s="9">
        <f t="shared" si="19"/>
        <v>25611</v>
      </c>
      <c r="S30" s="9">
        <f t="shared" si="19"/>
        <v>15913</v>
      </c>
      <c r="T30" s="9">
        <f t="shared" si="19"/>
        <v>-13953</v>
      </c>
      <c r="U30" s="9">
        <f t="shared" si="19"/>
        <v>-17040</v>
      </c>
      <c r="V30" s="9">
        <f t="shared" si="19"/>
        <v>-25410</v>
      </c>
      <c r="W30" s="9">
        <f t="shared" si="19"/>
        <v>-1905513</v>
      </c>
      <c r="X30" s="9">
        <f>SUM(X9,X16,X23)</f>
        <v>-1490712</v>
      </c>
    </row>
    <row r="31" spans="4:24" ht="12.75">
      <c r="D31" s="1">
        <f aca="true" t="shared" si="20" ref="D31:X31">D29-D26</f>
        <v>14737</v>
      </c>
      <c r="E31" s="1">
        <f t="shared" si="20"/>
        <v>61958</v>
      </c>
      <c r="F31" s="1">
        <f t="shared" si="20"/>
        <v>-7226</v>
      </c>
      <c r="G31" s="1">
        <f t="shared" si="20"/>
        <v>19268</v>
      </c>
      <c r="H31" s="1">
        <f t="shared" si="20"/>
        <v>61743</v>
      </c>
      <c r="I31" s="1">
        <f t="shared" si="20"/>
        <v>-6848</v>
      </c>
      <c r="J31" s="1">
        <f t="shared" si="20"/>
        <v>24272</v>
      </c>
      <c r="K31" s="1">
        <f t="shared" si="20"/>
        <v>-14930</v>
      </c>
      <c r="L31" s="1">
        <f t="shared" si="20"/>
        <v>229</v>
      </c>
      <c r="M31" s="1">
        <f t="shared" si="20"/>
        <v>7406</v>
      </c>
      <c r="N31" s="1">
        <f t="shared" si="20"/>
        <v>3090</v>
      </c>
      <c r="O31" s="1">
        <f t="shared" si="20"/>
        <v>262842</v>
      </c>
      <c r="P31" s="1">
        <f t="shared" si="20"/>
        <v>18195</v>
      </c>
      <c r="Q31" s="1">
        <f t="shared" si="20"/>
        <v>-15056</v>
      </c>
      <c r="R31" s="1">
        <f t="shared" si="20"/>
        <v>25611</v>
      </c>
      <c r="S31" s="1">
        <f t="shared" si="20"/>
        <v>15913</v>
      </c>
      <c r="T31" s="1">
        <f t="shared" si="20"/>
        <v>-13953</v>
      </c>
      <c r="U31" s="1">
        <f t="shared" si="20"/>
        <v>-17040</v>
      </c>
      <c r="V31" s="1">
        <f t="shared" si="20"/>
        <v>-25410</v>
      </c>
      <c r="W31" s="1">
        <f t="shared" si="20"/>
        <v>-1905513</v>
      </c>
      <c r="X31" s="1">
        <f t="shared" si="20"/>
        <v>-1490712</v>
      </c>
    </row>
  </sheetData>
  <sheetProtection password="EE36" sheet="1" formatCells="0" formatColumns="0" formatRows="0" insertColumns="0" insertRows="0" insertHyperlinks="0" deleteColumns="0" deleteRows="0" sort="0" autoFilter="0" pivotTables="0"/>
  <mergeCells count="18">
    <mergeCell ref="B17:B19"/>
    <mergeCell ref="B20:B22"/>
    <mergeCell ref="W1:X1"/>
    <mergeCell ref="A2:C2"/>
    <mergeCell ref="A3:A8"/>
    <mergeCell ref="B3:B5"/>
    <mergeCell ref="B6:B8"/>
    <mergeCell ref="A9:C9"/>
    <mergeCell ref="A30:C30"/>
    <mergeCell ref="A10:A15"/>
    <mergeCell ref="B10:B12"/>
    <mergeCell ref="B13:B15"/>
    <mergeCell ref="A16:C16"/>
    <mergeCell ref="A17:A22"/>
    <mergeCell ref="A23:C23"/>
    <mergeCell ref="A24:A29"/>
    <mergeCell ref="B24:B26"/>
    <mergeCell ref="B27:B29"/>
  </mergeCells>
  <printOptions horizontalCentered="1"/>
  <pageMargins left="0.1968503937007874" right="0.1968503937007874" top="1.2598425196850394" bottom="0.7480314960629921" header="0.31496062992125984" footer="0.31496062992125984"/>
  <pageSetup horizontalDpi="600" verticalDpi="600" orientation="landscape" paperSize="9" scale="55" r:id="rId1"/>
  <headerFooter alignWithMargins="0">
    <oddHeader>&amp;L&amp;"Times New Roman,Normál"&amp;9Mezőgazdasági Szakigazgatási Hivatal&amp;C
&amp;"Times New Roman,Normál"&amp;12Követelések összefoglalása intézményenként és főbb csoportonként
2008.&amp;R&amp;"Times New Roman,Normál"&amp;12 4.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115"/>
  <sheetViews>
    <sheetView zoomScalePageLayoutView="0" workbookViewId="0" topLeftCell="A1">
      <selection activeCell="D142" sqref="D142"/>
    </sheetView>
  </sheetViews>
  <sheetFormatPr defaultColWidth="8.00390625" defaultRowHeight="15"/>
  <cols>
    <col min="1" max="1" width="25.140625" style="126" customWidth="1"/>
    <col min="2" max="2" width="15.28125" style="126" customWidth="1"/>
    <col min="3" max="3" width="17.57421875" style="126" customWidth="1"/>
    <col min="4" max="4" width="13.00390625" style="126" customWidth="1"/>
    <col min="5" max="5" width="11.421875" style="126" customWidth="1"/>
    <col min="6" max="6" width="11.00390625" style="126" customWidth="1"/>
    <col min="7" max="16384" width="8.00390625" style="126" customWidth="1"/>
  </cols>
  <sheetData>
    <row r="3" spans="2:3" s="121" customFormat="1" ht="18">
      <c r="B3" s="122" t="s">
        <v>477</v>
      </c>
      <c r="C3" s="123"/>
    </row>
    <row r="4" spans="2:3" s="118" customFormat="1" ht="18">
      <c r="B4" s="122" t="s">
        <v>478</v>
      </c>
      <c r="C4" s="124"/>
    </row>
    <row r="5" spans="2:3" s="118" customFormat="1" ht="18">
      <c r="B5" s="125"/>
      <c r="C5" s="124"/>
    </row>
    <row r="6" spans="2:3" s="118" customFormat="1" ht="18">
      <c r="B6" s="122"/>
      <c r="C6" s="124"/>
    </row>
    <row r="7" spans="2:3" ht="17.25" customHeight="1">
      <c r="B7" s="127"/>
      <c r="C7" s="127"/>
    </row>
    <row r="8" spans="1:3" ht="20.25">
      <c r="A8" s="128" t="s">
        <v>479</v>
      </c>
      <c r="B8" s="128" t="s">
        <v>480</v>
      </c>
      <c r="C8" s="128" t="s">
        <v>481</v>
      </c>
    </row>
    <row r="9" spans="1:3" ht="20.25">
      <c r="A9" s="129" t="s">
        <v>482</v>
      </c>
      <c r="B9" s="126">
        <v>67009555</v>
      </c>
      <c r="C9" s="130">
        <v>76129065</v>
      </c>
    </row>
    <row r="10" spans="1:3" ht="20.25">
      <c r="A10" s="129" t="s">
        <v>483</v>
      </c>
      <c r="B10" s="131">
        <v>149764234</v>
      </c>
      <c r="C10" s="130">
        <v>122138537</v>
      </c>
    </row>
    <row r="11" spans="1:3" ht="20.25">
      <c r="A11" s="129" t="s">
        <v>484</v>
      </c>
      <c r="B11" s="131">
        <v>228701934</v>
      </c>
      <c r="C11" s="130">
        <v>241164465</v>
      </c>
    </row>
    <row r="12" spans="1:3" ht="20.25">
      <c r="A12" s="129" t="s">
        <v>485</v>
      </c>
      <c r="B12" s="131">
        <v>481540531</v>
      </c>
      <c r="C12" s="130">
        <v>487584187</v>
      </c>
    </row>
    <row r="13" spans="1:4" ht="20.25">
      <c r="A13" s="132" t="s">
        <v>22</v>
      </c>
      <c r="B13" s="133">
        <f>SUM(B9:B12)</f>
        <v>927016254</v>
      </c>
      <c r="C13" s="133">
        <f>SUM(C9:C12)</f>
        <v>927016254</v>
      </c>
      <c r="D13" s="134"/>
    </row>
    <row r="14" spans="1:3" ht="20.25">
      <c r="A14" s="134" t="s">
        <v>486</v>
      </c>
      <c r="B14" s="134">
        <f>B13-C13</f>
        <v>0</v>
      </c>
      <c r="C14" s="135"/>
    </row>
    <row r="15" spans="1:3" ht="20.25">
      <c r="A15" s="134"/>
      <c r="B15" s="134"/>
      <c r="C15" s="135"/>
    </row>
    <row r="16" spans="1:3" ht="20.25">
      <c r="A16" s="136"/>
      <c r="B16" s="137" t="s">
        <v>487</v>
      </c>
      <c r="C16" s="135"/>
    </row>
    <row r="17" spans="1:3" ht="20.25">
      <c r="A17" s="136"/>
      <c r="B17" s="138"/>
      <c r="C17" s="135"/>
    </row>
    <row r="18" spans="1:3" ht="15.75">
      <c r="A18" s="136"/>
      <c r="B18" s="127"/>
      <c r="C18" s="127"/>
    </row>
    <row r="19" spans="1:3" ht="20.25">
      <c r="A19" s="128" t="s">
        <v>479</v>
      </c>
      <c r="B19" s="128" t="s">
        <v>480</v>
      </c>
      <c r="C19" s="128" t="s">
        <v>481</v>
      </c>
    </row>
    <row r="20" spans="1:3" ht="20.25">
      <c r="A20" s="129" t="s">
        <v>482</v>
      </c>
      <c r="B20" s="126">
        <v>9799927</v>
      </c>
      <c r="C20" s="130">
        <v>9799927</v>
      </c>
    </row>
    <row r="21" spans="1:3" ht="20.25">
      <c r="A21" s="129" t="s">
        <v>483</v>
      </c>
      <c r="B21" s="131">
        <v>7764445</v>
      </c>
      <c r="C21" s="130">
        <v>5772677</v>
      </c>
    </row>
    <row r="22" spans="1:3" ht="20.25">
      <c r="A22" s="129" t="s">
        <v>484</v>
      </c>
      <c r="B22" s="131">
        <v>14995223</v>
      </c>
      <c r="C22" s="130">
        <v>13638285</v>
      </c>
    </row>
    <row r="23" spans="1:3" ht="20.25">
      <c r="A23" s="129" t="s">
        <v>485</v>
      </c>
      <c r="B23" s="131">
        <v>12523514</v>
      </c>
      <c r="C23" s="130">
        <v>15872220</v>
      </c>
    </row>
    <row r="24" spans="1:3" ht="20.25">
      <c r="A24" s="132" t="s">
        <v>22</v>
      </c>
      <c r="B24" s="139">
        <f>SUM(B20:B23)</f>
        <v>45083109</v>
      </c>
      <c r="C24" s="139">
        <f>SUM(C20:C23)</f>
        <v>45083109</v>
      </c>
    </row>
    <row r="25" spans="1:3" ht="20.25">
      <c r="A25" s="134" t="s">
        <v>486</v>
      </c>
      <c r="B25" s="134">
        <f>B24-C24</f>
        <v>0</v>
      </c>
      <c r="C25" s="135"/>
    </row>
    <row r="26" spans="1:3" ht="20.25">
      <c r="A26" s="134"/>
      <c r="B26" s="134"/>
      <c r="C26" s="135"/>
    </row>
    <row r="27" spans="1:3" ht="20.25">
      <c r="A27" s="136"/>
      <c r="B27" s="134" t="s">
        <v>488</v>
      </c>
      <c r="C27" s="135"/>
    </row>
    <row r="28" spans="1:3" ht="15.75">
      <c r="A28" s="136"/>
      <c r="B28" s="127"/>
      <c r="C28" s="127"/>
    </row>
    <row r="29" spans="1:3" ht="20.25">
      <c r="A29" s="136" t="s">
        <v>489</v>
      </c>
      <c r="B29" s="138"/>
      <c r="C29" s="135"/>
    </row>
    <row r="30" spans="1:3" ht="20.25">
      <c r="A30" s="128" t="s">
        <v>479</v>
      </c>
      <c r="B30" s="128" t="s">
        <v>480</v>
      </c>
      <c r="C30" s="128" t="s">
        <v>481</v>
      </c>
    </row>
    <row r="31" spans="1:3" ht="20.25">
      <c r="A31" s="129" t="s">
        <v>482</v>
      </c>
      <c r="B31" s="126">
        <v>0</v>
      </c>
      <c r="C31" s="130">
        <v>0</v>
      </c>
    </row>
    <row r="32" spans="1:3" ht="20.25">
      <c r="A32" s="129" t="s">
        <v>483</v>
      </c>
      <c r="B32" s="131">
        <v>2529784</v>
      </c>
      <c r="C32" s="130">
        <v>2529784</v>
      </c>
    </row>
    <row r="33" spans="1:3" ht="20.25">
      <c r="A33" s="129" t="s">
        <v>484</v>
      </c>
      <c r="B33" s="131">
        <v>11724720</v>
      </c>
      <c r="C33" s="130">
        <v>11264360</v>
      </c>
    </row>
    <row r="34" spans="1:3" ht="20.25">
      <c r="A34" s="129" t="s">
        <v>485</v>
      </c>
      <c r="B34" s="131">
        <f>26828457+150000</f>
        <v>26978457</v>
      </c>
      <c r="C34" s="130">
        <v>21029453</v>
      </c>
    </row>
    <row r="35" spans="1:3" ht="20.25">
      <c r="A35" s="132" t="s">
        <v>363</v>
      </c>
      <c r="B35" s="139">
        <f>SUM(B31:B34)</f>
        <v>41232961</v>
      </c>
      <c r="C35" s="139">
        <f>SUM(C31:C34)</f>
        <v>34823597</v>
      </c>
    </row>
    <row r="36" spans="1:3" ht="20.25">
      <c r="A36" s="134" t="s">
        <v>486</v>
      </c>
      <c r="B36" s="134">
        <f>B35-C35</f>
        <v>6409364</v>
      </c>
      <c r="C36" s="135"/>
    </row>
    <row r="37" spans="1:3" ht="20.25">
      <c r="A37" s="140" t="s">
        <v>490</v>
      </c>
      <c r="B37" s="140">
        <v>6259364</v>
      </c>
      <c r="C37" s="135"/>
    </row>
    <row r="38" spans="1:3" ht="20.25">
      <c r="A38" s="140" t="s">
        <v>491</v>
      </c>
      <c r="B38" s="140">
        <v>150000</v>
      </c>
      <c r="C38" s="135"/>
    </row>
    <row r="39" spans="1:3" ht="20.25">
      <c r="A39" s="140"/>
      <c r="B39" s="140"/>
      <c r="C39" s="135"/>
    </row>
    <row r="40" spans="1:4" s="142" customFormat="1" ht="15">
      <c r="A40" s="141"/>
      <c r="B40" s="141" t="s">
        <v>492</v>
      </c>
      <c r="C40" s="141"/>
      <c r="D40" s="141"/>
    </row>
    <row r="42" spans="1:3" ht="15.75">
      <c r="A42" s="136"/>
      <c r="B42" s="127"/>
      <c r="C42" s="127"/>
    </row>
    <row r="43" spans="1:3" ht="20.25">
      <c r="A43" s="136" t="s">
        <v>489</v>
      </c>
      <c r="B43" s="138">
        <v>2642894</v>
      </c>
      <c r="C43" s="135"/>
    </row>
    <row r="44" spans="1:3" ht="20.25">
      <c r="A44" s="128" t="s">
        <v>479</v>
      </c>
      <c r="B44" s="128" t="s">
        <v>480</v>
      </c>
      <c r="C44" s="128" t="s">
        <v>481</v>
      </c>
    </row>
    <row r="45" spans="1:3" ht="20.25">
      <c r="A45" s="129" t="s">
        <v>482</v>
      </c>
      <c r="B45" s="126">
        <v>56000</v>
      </c>
      <c r="C45" s="130">
        <v>1037373</v>
      </c>
    </row>
    <row r="46" spans="1:3" ht="20.25">
      <c r="A46" s="129" t="s">
        <v>483</v>
      </c>
      <c r="B46" s="131">
        <v>172699</v>
      </c>
      <c r="C46" s="130">
        <v>0</v>
      </c>
    </row>
    <row r="47" spans="1:3" ht="20.25">
      <c r="A47" s="129" t="s">
        <v>484</v>
      </c>
      <c r="B47" s="131">
        <v>30240</v>
      </c>
      <c r="C47" s="130">
        <v>30240</v>
      </c>
    </row>
    <row r="48" spans="1:3" ht="20.25">
      <c r="A48" s="129" t="s">
        <v>485</v>
      </c>
      <c r="B48" s="131">
        <v>674080</v>
      </c>
      <c r="C48" s="130">
        <f>674080-717732</f>
        <v>-43652</v>
      </c>
    </row>
    <row r="49" spans="1:3" ht="20.25">
      <c r="A49" s="132" t="s">
        <v>363</v>
      </c>
      <c r="B49" s="139">
        <f>SUM(B45:B48)</f>
        <v>933019</v>
      </c>
      <c r="C49" s="139">
        <f>SUM(C45:C48)</f>
        <v>1023961</v>
      </c>
    </row>
    <row r="50" spans="1:3" ht="20.25">
      <c r="A50" s="134" t="s">
        <v>486</v>
      </c>
      <c r="B50" s="134">
        <f>B49-C49</f>
        <v>-90942</v>
      </c>
      <c r="C50" s="135"/>
    </row>
    <row r="53" spans="1:4" ht="15.75">
      <c r="A53" s="134" t="s">
        <v>493</v>
      </c>
      <c r="B53" s="134">
        <v>2642894</v>
      </c>
      <c r="D53" s="140"/>
    </row>
    <row r="55" spans="1:3" ht="12.75">
      <c r="A55" s="126" t="s">
        <v>494</v>
      </c>
      <c r="B55" s="126">
        <v>1925162</v>
      </c>
      <c r="C55" s="126" t="s">
        <v>495</v>
      </c>
    </row>
    <row r="56" spans="1:4" ht="12.75">
      <c r="A56" s="126" t="s">
        <v>496</v>
      </c>
      <c r="B56" s="126">
        <v>140940</v>
      </c>
      <c r="C56" s="126" t="s">
        <v>497</v>
      </c>
      <c r="D56" s="140"/>
    </row>
    <row r="57" spans="1:3" ht="12.75">
      <c r="A57" s="126" t="s">
        <v>496</v>
      </c>
      <c r="B57" s="143">
        <v>493434</v>
      </c>
      <c r="C57" s="126" t="s">
        <v>498</v>
      </c>
    </row>
    <row r="58" spans="1:3" ht="12.75">
      <c r="A58" s="126" t="s">
        <v>421</v>
      </c>
      <c r="B58" s="126">
        <v>3005</v>
      </c>
      <c r="C58" s="126" t="s">
        <v>499</v>
      </c>
    </row>
    <row r="59" spans="1:3" ht="12.75">
      <c r="A59" s="126" t="s">
        <v>496</v>
      </c>
      <c r="B59" s="126">
        <v>198687</v>
      </c>
      <c r="C59" s="126" t="s">
        <v>500</v>
      </c>
    </row>
    <row r="60" spans="1:5" ht="12.75">
      <c r="A60" s="143" t="s">
        <v>496</v>
      </c>
      <c r="B60" s="143">
        <v>198687</v>
      </c>
      <c r="C60" s="143" t="s">
        <v>500</v>
      </c>
      <c r="D60" s="143"/>
      <c r="E60" s="143"/>
    </row>
    <row r="61" spans="1:3" ht="12.75">
      <c r="A61" s="143" t="s">
        <v>421</v>
      </c>
      <c r="B61" s="143">
        <v>2620</v>
      </c>
      <c r="C61" s="143" t="s">
        <v>501</v>
      </c>
    </row>
    <row r="62" spans="1:2" ht="12.75">
      <c r="A62" s="144" t="s">
        <v>502</v>
      </c>
      <c r="B62" s="144">
        <v>56000</v>
      </c>
    </row>
    <row r="63" spans="1:2" ht="12.75">
      <c r="A63" s="144" t="s">
        <v>503</v>
      </c>
      <c r="B63" s="144">
        <v>172699</v>
      </c>
    </row>
    <row r="64" ht="12.75">
      <c r="B64" s="126">
        <f>B53-B55-B56-B57-B58-B59-B60-B61+B62+B63</f>
        <v>-90942</v>
      </c>
    </row>
    <row r="67" ht="12.75">
      <c r="A67" s="126" t="s">
        <v>504</v>
      </c>
    </row>
    <row r="69" ht="12.75">
      <c r="A69" s="126" t="s">
        <v>505</v>
      </c>
    </row>
    <row r="74" ht="12.75">
      <c r="A74" s="145"/>
    </row>
    <row r="85" ht="12.75">
      <c r="B85" s="145"/>
    </row>
    <row r="88" ht="12.75">
      <c r="A88" s="145"/>
    </row>
    <row r="89" spans="1:6" ht="12.75">
      <c r="A89" s="146"/>
      <c r="B89" s="146"/>
      <c r="C89" s="146"/>
      <c r="D89" s="146"/>
      <c r="E89" s="146"/>
      <c r="F89" s="146"/>
    </row>
    <row r="90" spans="1:6" ht="12.75">
      <c r="A90" s="146"/>
      <c r="B90" s="146"/>
      <c r="C90" s="146"/>
      <c r="D90" s="146"/>
      <c r="E90" s="146"/>
      <c r="F90" s="146"/>
    </row>
    <row r="91" spans="1:6" ht="12.75">
      <c r="A91" s="147"/>
      <c r="B91" s="146"/>
      <c r="C91" s="146"/>
      <c r="D91" s="146"/>
      <c r="E91" s="146"/>
      <c r="F91" s="146"/>
    </row>
    <row r="92" spans="1:6" ht="12.75">
      <c r="A92" s="147"/>
      <c r="B92" s="147"/>
      <c r="C92" s="146"/>
      <c r="D92" s="146"/>
      <c r="E92" s="146"/>
      <c r="F92" s="146"/>
    </row>
    <row r="93" spans="1:6" ht="12.75">
      <c r="A93" s="147"/>
      <c r="B93" s="147"/>
      <c r="C93" s="146"/>
      <c r="D93" s="146"/>
      <c r="E93" s="146"/>
      <c r="F93" s="146"/>
    </row>
    <row r="94" spans="1:6" ht="12.75">
      <c r="A94" s="147"/>
      <c r="B94" s="147"/>
      <c r="C94" s="146"/>
      <c r="D94" s="146"/>
      <c r="E94" s="146"/>
      <c r="F94" s="146"/>
    </row>
    <row r="95" spans="1:6" ht="12.75">
      <c r="A95" s="147"/>
      <c r="B95" s="147"/>
      <c r="C95" s="146"/>
      <c r="D95" s="146"/>
      <c r="E95" s="146"/>
      <c r="F95" s="146"/>
    </row>
    <row r="96" spans="1:6" ht="12.75">
      <c r="A96" s="146"/>
      <c r="B96" s="148"/>
      <c r="C96" s="146"/>
      <c r="D96" s="146"/>
      <c r="E96" s="146"/>
      <c r="F96" s="146"/>
    </row>
    <row r="97" spans="1:6" ht="12.75">
      <c r="A97" s="146"/>
      <c r="B97" s="146"/>
      <c r="C97" s="146"/>
      <c r="D97" s="146"/>
      <c r="E97" s="146"/>
      <c r="F97" s="146"/>
    </row>
    <row r="98" ht="12.75">
      <c r="A98" s="149"/>
    </row>
    <row r="99" ht="12.75">
      <c r="A99" s="147"/>
    </row>
    <row r="100" ht="12.75">
      <c r="A100" s="147"/>
    </row>
    <row r="101" ht="12.75">
      <c r="A101" s="147"/>
    </row>
    <row r="102" ht="12.75">
      <c r="A102" s="147"/>
    </row>
    <row r="103" ht="12.75">
      <c r="A103" s="147"/>
    </row>
    <row r="104" ht="12.75">
      <c r="A104" s="147"/>
    </row>
    <row r="105" ht="12.75">
      <c r="A105" s="147"/>
    </row>
    <row r="106" ht="12.75">
      <c r="B106" s="145"/>
    </row>
    <row r="110" spans="1:2" ht="12.75">
      <c r="A110" s="143"/>
      <c r="B110" s="143"/>
    </row>
    <row r="111" spans="1:2" ht="12.75">
      <c r="A111" s="143"/>
      <c r="B111" s="143"/>
    </row>
    <row r="112" spans="1:2" ht="12.75">
      <c r="A112" s="143"/>
      <c r="B112" s="143"/>
    </row>
    <row r="113" spans="1:2" ht="12.75">
      <c r="A113" s="150"/>
      <c r="B113" s="146"/>
    </row>
    <row r="114" spans="1:2" ht="12.75">
      <c r="A114" s="151"/>
      <c r="B114" s="146"/>
    </row>
    <row r="115" ht="12.75">
      <c r="A115" s="151"/>
    </row>
  </sheetData>
  <sheetProtection password="EE36" sheet="1" formatCells="0" formatColumns="0" formatRows="0" insertColumns="0" insertRows="0" insertHyperlinks="0" deleteColumns="0" deleteRows="0" sort="0" autoFilter="0" pivotTables="0"/>
  <printOptions/>
  <pageMargins left="0.75" right="0.75" top="0.66" bottom="1" header="0.26" footer="0.5"/>
  <pageSetup horizontalDpi="360" verticalDpi="360" orientation="portrait" paperSize="9" r:id="rId1"/>
  <headerFooter alignWithMargins="0">
    <oddHeader>&amp;R5/a.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M14" sqref="M14"/>
    </sheetView>
  </sheetViews>
  <sheetFormatPr defaultColWidth="8.00390625" defaultRowHeight="15"/>
  <cols>
    <col min="1" max="1" width="17.8515625" style="103" customWidth="1"/>
    <col min="2" max="2" width="10.8515625" style="103" bestFit="1" customWidth="1"/>
    <col min="3" max="3" width="14.140625" style="103" customWidth="1"/>
    <col min="4" max="4" width="9.7109375" style="103" customWidth="1"/>
    <col min="5" max="5" width="14.140625" style="103" bestFit="1" customWidth="1"/>
    <col min="6" max="6" width="13.8515625" style="115" customWidth="1"/>
    <col min="7" max="7" width="12.7109375" style="103" bestFit="1" customWidth="1"/>
    <col min="8" max="16384" width="8.00390625" style="103" customWidth="1"/>
  </cols>
  <sheetData>
    <row r="1" spans="1:7" s="99" customFormat="1" ht="30" customHeight="1">
      <c r="A1" s="97" t="s">
        <v>418</v>
      </c>
      <c r="B1" s="97" t="s">
        <v>419</v>
      </c>
      <c r="C1" s="97" t="s">
        <v>420</v>
      </c>
      <c r="D1" s="97" t="s">
        <v>421</v>
      </c>
      <c r="E1" s="97" t="s">
        <v>422</v>
      </c>
      <c r="F1" s="98" t="s">
        <v>423</v>
      </c>
      <c r="G1" s="98" t="s">
        <v>424</v>
      </c>
    </row>
    <row r="2" spans="1:7" ht="15">
      <c r="A2" s="100" t="s">
        <v>425</v>
      </c>
      <c r="B2" s="100">
        <v>90</v>
      </c>
      <c r="C2" s="100">
        <v>34843851</v>
      </c>
      <c r="D2" s="100">
        <v>46664</v>
      </c>
      <c r="E2" s="100">
        <f aca="true" t="shared" si="0" ref="E2:E9">C2+D2</f>
        <v>34890515</v>
      </c>
      <c r="F2" s="101">
        <v>39496</v>
      </c>
      <c r="G2" s="102">
        <v>39496</v>
      </c>
    </row>
    <row r="3" spans="1:7" ht="15">
      <c r="A3" s="100" t="s">
        <v>426</v>
      </c>
      <c r="B3" s="100">
        <v>20</v>
      </c>
      <c r="C3" s="100">
        <v>3064102</v>
      </c>
      <c r="D3" s="100">
        <v>6900</v>
      </c>
      <c r="E3" s="100">
        <f t="shared" si="0"/>
        <v>3071002</v>
      </c>
      <c r="F3" s="101">
        <v>39496</v>
      </c>
      <c r="G3" s="102">
        <v>39506</v>
      </c>
    </row>
    <row r="4" spans="1:7" ht="15">
      <c r="A4" s="100" t="s">
        <v>427</v>
      </c>
      <c r="B4" s="100">
        <v>20</v>
      </c>
      <c r="C4" s="100">
        <v>7685145</v>
      </c>
      <c r="D4" s="100">
        <v>7730</v>
      </c>
      <c r="E4" s="100">
        <f t="shared" si="0"/>
        <v>7692875</v>
      </c>
      <c r="F4" s="101">
        <v>39505</v>
      </c>
      <c r="G4" s="102">
        <v>39514</v>
      </c>
    </row>
    <row r="5" spans="1:7" ht="15">
      <c r="A5" s="100" t="s">
        <v>428</v>
      </c>
      <c r="B5" s="100">
        <v>48</v>
      </c>
      <c r="C5" s="100">
        <v>21342949</v>
      </c>
      <c r="D5" s="100">
        <v>12214</v>
      </c>
      <c r="E5" s="100">
        <f t="shared" si="0"/>
        <v>21355163</v>
      </c>
      <c r="F5" s="101">
        <v>39526</v>
      </c>
      <c r="G5" s="102">
        <v>39533</v>
      </c>
    </row>
    <row r="6" spans="1:7" ht="15">
      <c r="A6" s="100" t="s">
        <v>429</v>
      </c>
      <c r="B6" s="100">
        <v>14</v>
      </c>
      <c r="C6" s="100">
        <v>60784070</v>
      </c>
      <c r="D6" s="100">
        <v>7680</v>
      </c>
      <c r="E6" s="100">
        <f t="shared" si="0"/>
        <v>60791750</v>
      </c>
      <c r="F6" s="101">
        <v>39553</v>
      </c>
      <c r="G6" s="102">
        <v>39563</v>
      </c>
    </row>
    <row r="7" spans="1:7" ht="15">
      <c r="A7" s="100" t="s">
        <v>430</v>
      </c>
      <c r="B7" s="100">
        <v>17</v>
      </c>
      <c r="C7" s="100">
        <v>6628085</v>
      </c>
      <c r="D7" s="100">
        <v>4675</v>
      </c>
      <c r="E7" s="100">
        <f t="shared" si="0"/>
        <v>6632760</v>
      </c>
      <c r="F7" s="101">
        <v>39553</v>
      </c>
      <c r="G7" s="102">
        <v>39563</v>
      </c>
    </row>
    <row r="8" spans="1:7" ht="15">
      <c r="A8" s="100" t="s">
        <v>431</v>
      </c>
      <c r="B8" s="100">
        <v>18</v>
      </c>
      <c r="C8" s="100">
        <v>12988749</v>
      </c>
      <c r="D8" s="104">
        <f>19160</f>
        <v>19160</v>
      </c>
      <c r="E8" s="100">
        <f t="shared" si="0"/>
        <v>13007909</v>
      </c>
      <c r="F8" s="101">
        <v>39561</v>
      </c>
      <c r="G8" s="102">
        <v>39575</v>
      </c>
    </row>
    <row r="9" spans="1:7" ht="15">
      <c r="A9" s="100" t="s">
        <v>432</v>
      </c>
      <c r="B9" s="100">
        <v>52</v>
      </c>
      <c r="C9" s="100">
        <v>19003970</v>
      </c>
      <c r="D9" s="100">
        <v>17335</v>
      </c>
      <c r="E9" s="100">
        <f t="shared" si="0"/>
        <v>19021305</v>
      </c>
      <c r="F9" s="101">
        <v>39581</v>
      </c>
      <c r="G9" s="102">
        <v>39583</v>
      </c>
    </row>
    <row r="10" spans="1:7" ht="15">
      <c r="A10" s="100" t="s">
        <v>433</v>
      </c>
      <c r="B10" s="100">
        <v>13</v>
      </c>
      <c r="C10" s="100">
        <v>5193436</v>
      </c>
      <c r="D10" s="100">
        <f>19725+1310+172699</f>
        <v>193734</v>
      </c>
      <c r="E10" s="100">
        <f>C10+D10-172699</f>
        <v>5214471</v>
      </c>
      <c r="F10" s="101">
        <v>39603</v>
      </c>
      <c r="G10" s="102">
        <v>39608</v>
      </c>
    </row>
    <row r="11" spans="1:7" ht="15">
      <c r="A11" s="100" t="s">
        <v>434</v>
      </c>
      <c r="B11" s="100">
        <v>31</v>
      </c>
      <c r="C11" s="100">
        <v>16420541</v>
      </c>
      <c r="D11" s="100">
        <v>20076</v>
      </c>
      <c r="E11" s="100">
        <f aca="true" t="shared" si="1" ref="E11:E39">C11+D11</f>
        <v>16440617</v>
      </c>
      <c r="F11" s="101">
        <v>39612</v>
      </c>
      <c r="G11" s="102">
        <v>39617</v>
      </c>
    </row>
    <row r="12" spans="1:7" s="107" customFormat="1" ht="15">
      <c r="A12" s="104" t="s">
        <v>435</v>
      </c>
      <c r="B12" s="104">
        <v>1</v>
      </c>
      <c r="C12" s="104">
        <v>374748</v>
      </c>
      <c r="D12" s="104">
        <v>0</v>
      </c>
      <c r="E12" s="104">
        <f t="shared" si="1"/>
        <v>374748</v>
      </c>
      <c r="F12" s="105">
        <v>39612</v>
      </c>
      <c r="G12" s="106">
        <v>39616</v>
      </c>
    </row>
    <row r="13" spans="1:7" ht="15">
      <c r="A13" s="100" t="s">
        <v>436</v>
      </c>
      <c r="B13" s="100">
        <v>16</v>
      </c>
      <c r="C13" s="100">
        <v>9749307</v>
      </c>
      <c r="D13" s="100">
        <v>25180</v>
      </c>
      <c r="E13" s="100">
        <f t="shared" si="1"/>
        <v>9774487</v>
      </c>
      <c r="F13" s="101">
        <v>39618</v>
      </c>
      <c r="G13" s="102">
        <v>39623</v>
      </c>
    </row>
    <row r="14" spans="1:7" ht="15">
      <c r="A14" s="100" t="s">
        <v>437</v>
      </c>
      <c r="B14" s="100">
        <v>15</v>
      </c>
      <c r="C14" s="100">
        <v>5581201</v>
      </c>
      <c r="D14" s="100">
        <v>7345</v>
      </c>
      <c r="E14" s="100">
        <f t="shared" si="1"/>
        <v>5588546</v>
      </c>
      <c r="F14" s="101">
        <v>39629</v>
      </c>
      <c r="G14" s="102">
        <v>39645</v>
      </c>
    </row>
    <row r="15" spans="1:7" ht="15">
      <c r="A15" s="100" t="s">
        <v>438</v>
      </c>
      <c r="B15" s="100">
        <v>47</v>
      </c>
      <c r="C15" s="100">
        <v>23898700</v>
      </c>
      <c r="D15" s="100">
        <v>48245</v>
      </c>
      <c r="E15" s="100">
        <f t="shared" si="1"/>
        <v>23946945</v>
      </c>
      <c r="F15" s="101">
        <v>39659</v>
      </c>
      <c r="G15" s="102">
        <v>39665</v>
      </c>
    </row>
    <row r="16" spans="1:7" ht="15">
      <c r="A16" s="100" t="s">
        <v>439</v>
      </c>
      <c r="B16" s="100">
        <v>13</v>
      </c>
      <c r="C16" s="100">
        <v>35891940</v>
      </c>
      <c r="D16" s="100">
        <v>0</v>
      </c>
      <c r="E16" s="100">
        <f t="shared" si="1"/>
        <v>35891940</v>
      </c>
      <c r="F16" s="101">
        <v>39659</v>
      </c>
      <c r="G16" s="102">
        <v>39661</v>
      </c>
    </row>
    <row r="17" spans="1:7" ht="15">
      <c r="A17" s="100" t="s">
        <v>440</v>
      </c>
      <c r="B17" s="100">
        <v>31</v>
      </c>
      <c r="C17" s="100">
        <v>60158451</v>
      </c>
      <c r="D17" s="100">
        <v>27390</v>
      </c>
      <c r="E17" s="100">
        <f t="shared" si="1"/>
        <v>60185841</v>
      </c>
      <c r="F17" s="101">
        <v>39667</v>
      </c>
      <c r="G17" s="102">
        <v>39659</v>
      </c>
    </row>
    <row r="18" spans="1:7" ht="15">
      <c r="A18" s="100" t="s">
        <v>441</v>
      </c>
      <c r="B18" s="100">
        <v>24</v>
      </c>
      <c r="C18" s="100">
        <v>48350686</v>
      </c>
      <c r="D18" s="100">
        <v>31620</v>
      </c>
      <c r="E18" s="100">
        <f t="shared" si="1"/>
        <v>48382306</v>
      </c>
      <c r="F18" s="101">
        <v>39675</v>
      </c>
      <c r="G18" s="102">
        <v>39686</v>
      </c>
    </row>
    <row r="19" spans="1:7" ht="15">
      <c r="A19" s="100" t="s">
        <v>442</v>
      </c>
      <c r="B19" s="100">
        <v>11</v>
      </c>
      <c r="C19" s="100">
        <v>7000870</v>
      </c>
      <c r="D19" s="100">
        <v>7502</v>
      </c>
      <c r="E19" s="100">
        <f t="shared" si="1"/>
        <v>7008372</v>
      </c>
      <c r="F19" s="101">
        <v>39675</v>
      </c>
      <c r="G19" s="102">
        <v>39686</v>
      </c>
    </row>
    <row r="20" spans="1:7" ht="15">
      <c r="A20" s="100" t="s">
        <v>443</v>
      </c>
      <c r="B20" s="100">
        <v>25</v>
      </c>
      <c r="C20" s="100">
        <v>29468072</v>
      </c>
      <c r="D20" s="100">
        <v>7998</v>
      </c>
      <c r="E20" s="100">
        <f t="shared" si="1"/>
        <v>29476070</v>
      </c>
      <c r="F20" s="101">
        <v>39695</v>
      </c>
      <c r="G20" s="102">
        <v>39700</v>
      </c>
    </row>
    <row r="21" spans="1:7" ht="15">
      <c r="A21" s="100" t="s">
        <v>444</v>
      </c>
      <c r="B21" s="100">
        <v>22</v>
      </c>
      <c r="C21" s="100">
        <v>3466364</v>
      </c>
      <c r="D21" s="100">
        <v>0</v>
      </c>
      <c r="E21" s="100">
        <f t="shared" si="1"/>
        <v>3466364</v>
      </c>
      <c r="F21" s="101">
        <v>39716</v>
      </c>
      <c r="G21" s="102">
        <v>39721</v>
      </c>
    </row>
    <row r="22" spans="1:7" ht="15">
      <c r="A22" s="100" t="s">
        <v>445</v>
      </c>
      <c r="B22" s="100">
        <v>30</v>
      </c>
      <c r="C22" s="100">
        <v>12270980</v>
      </c>
      <c r="D22" s="100">
        <v>11406</v>
      </c>
      <c r="E22" s="100">
        <f t="shared" si="1"/>
        <v>12282386</v>
      </c>
      <c r="F22" s="101">
        <v>39716</v>
      </c>
      <c r="G22" s="102">
        <v>39721</v>
      </c>
    </row>
    <row r="23" spans="1:7" ht="15">
      <c r="A23" s="100" t="s">
        <v>446</v>
      </c>
      <c r="B23" s="100">
        <v>14</v>
      </c>
      <c r="C23" s="100">
        <v>8034910</v>
      </c>
      <c r="D23" s="100">
        <v>26800</v>
      </c>
      <c r="E23" s="100">
        <f t="shared" si="1"/>
        <v>8061710</v>
      </c>
      <c r="F23" s="101">
        <v>39716</v>
      </c>
      <c r="G23" s="102">
        <v>39721</v>
      </c>
    </row>
    <row r="24" spans="1:7" ht="15">
      <c r="A24" s="100" t="s">
        <v>447</v>
      </c>
      <c r="B24" s="100">
        <v>29</v>
      </c>
      <c r="C24" s="100">
        <v>99422842</v>
      </c>
      <c r="D24" s="100">
        <v>6318</v>
      </c>
      <c r="E24" s="100">
        <f t="shared" si="1"/>
        <v>99429160</v>
      </c>
      <c r="F24" s="101">
        <v>39736</v>
      </c>
      <c r="G24" s="102">
        <v>39737</v>
      </c>
    </row>
    <row r="25" spans="1:7" ht="15">
      <c r="A25" s="100" t="s">
        <v>448</v>
      </c>
      <c r="B25" s="100">
        <v>20</v>
      </c>
      <c r="C25" s="100">
        <v>48067726</v>
      </c>
      <c r="D25" s="100">
        <v>1090</v>
      </c>
      <c r="E25" s="100">
        <f t="shared" si="1"/>
        <v>48068816</v>
      </c>
      <c r="F25" s="101">
        <v>39736</v>
      </c>
      <c r="G25" s="102">
        <v>39737</v>
      </c>
    </row>
    <row r="26" spans="1:7" ht="15">
      <c r="A26" s="100" t="s">
        <v>449</v>
      </c>
      <c r="B26" s="100">
        <v>63</v>
      </c>
      <c r="C26" s="100">
        <v>41383683</v>
      </c>
      <c r="D26" s="100">
        <v>44012</v>
      </c>
      <c r="E26" s="100">
        <f t="shared" si="1"/>
        <v>41427695</v>
      </c>
      <c r="F26" s="101">
        <v>39742</v>
      </c>
      <c r="G26" s="102">
        <v>39748</v>
      </c>
    </row>
    <row r="27" spans="1:7" ht="15">
      <c r="A27" s="100" t="s">
        <v>450</v>
      </c>
      <c r="B27" s="100">
        <v>31</v>
      </c>
      <c r="C27" s="100">
        <v>13575389</v>
      </c>
      <c r="D27" s="100">
        <v>11376</v>
      </c>
      <c r="E27" s="100">
        <f t="shared" si="1"/>
        <v>13586765</v>
      </c>
      <c r="F27" s="101">
        <v>39743</v>
      </c>
      <c r="G27" s="102">
        <v>39750</v>
      </c>
    </row>
    <row r="28" spans="1:7" ht="15">
      <c r="A28" s="100" t="s">
        <v>451</v>
      </c>
      <c r="B28" s="100">
        <v>38</v>
      </c>
      <c r="C28" s="100">
        <v>22087827</v>
      </c>
      <c r="D28" s="100">
        <v>9711</v>
      </c>
      <c r="E28" s="100">
        <f t="shared" si="1"/>
        <v>22097538</v>
      </c>
      <c r="F28" s="101">
        <v>39756</v>
      </c>
      <c r="G28" s="102">
        <v>39762</v>
      </c>
    </row>
    <row r="29" spans="1:7" ht="15">
      <c r="A29" s="100" t="s">
        <v>452</v>
      </c>
      <c r="B29" s="100">
        <v>23</v>
      </c>
      <c r="C29" s="100">
        <v>18620660</v>
      </c>
      <c r="D29" s="100">
        <v>45925</v>
      </c>
      <c r="E29" s="100">
        <f t="shared" si="1"/>
        <v>18666585</v>
      </c>
      <c r="F29" s="101">
        <v>39756</v>
      </c>
      <c r="G29" s="102">
        <v>39763</v>
      </c>
    </row>
    <row r="30" spans="1:7" ht="15">
      <c r="A30" s="100" t="s">
        <v>453</v>
      </c>
      <c r="B30" s="100">
        <v>48</v>
      </c>
      <c r="C30" s="100">
        <v>10191582</v>
      </c>
      <c r="D30" s="100">
        <v>36664</v>
      </c>
      <c r="E30" s="100">
        <f t="shared" si="1"/>
        <v>10228246</v>
      </c>
      <c r="F30" s="101">
        <v>39771</v>
      </c>
      <c r="G30" s="102">
        <v>39776</v>
      </c>
    </row>
    <row r="31" spans="1:7" ht="15">
      <c r="A31" s="100" t="s">
        <v>454</v>
      </c>
      <c r="B31" s="100">
        <v>1</v>
      </c>
      <c r="C31" s="100">
        <v>5047705</v>
      </c>
      <c r="D31" s="100">
        <v>0</v>
      </c>
      <c r="E31" s="100">
        <f t="shared" si="1"/>
        <v>5047705</v>
      </c>
      <c r="F31" s="101">
        <v>39769</v>
      </c>
      <c r="G31" s="102">
        <v>39772</v>
      </c>
    </row>
    <row r="32" spans="1:7" ht="15">
      <c r="A32" s="100" t="s">
        <v>455</v>
      </c>
      <c r="B32" s="100">
        <v>31</v>
      </c>
      <c r="C32" s="100">
        <v>54228656</v>
      </c>
      <c r="D32" s="100">
        <v>1925</v>
      </c>
      <c r="E32" s="100">
        <f t="shared" si="1"/>
        <v>54230581</v>
      </c>
      <c r="F32" s="101">
        <v>39776</v>
      </c>
      <c r="G32" s="102">
        <v>39779</v>
      </c>
    </row>
    <row r="33" spans="1:7" ht="15">
      <c r="A33" s="100" t="s">
        <v>456</v>
      </c>
      <c r="B33" s="100">
        <v>4</v>
      </c>
      <c r="C33" s="100">
        <v>2268725</v>
      </c>
      <c r="D33" s="100">
        <v>4135</v>
      </c>
      <c r="E33" s="100">
        <f t="shared" si="1"/>
        <v>2272860</v>
      </c>
      <c r="F33" s="101">
        <v>39776</v>
      </c>
      <c r="G33" s="102">
        <v>39758</v>
      </c>
    </row>
    <row r="34" spans="1:7" ht="15">
      <c r="A34" s="100" t="s">
        <v>457</v>
      </c>
      <c r="B34" s="100">
        <v>23</v>
      </c>
      <c r="C34" s="100">
        <v>22519303</v>
      </c>
      <c r="D34" s="100">
        <v>1310</v>
      </c>
      <c r="E34" s="100">
        <f t="shared" si="1"/>
        <v>22520613</v>
      </c>
      <c r="F34" s="101">
        <v>39777</v>
      </c>
      <c r="G34" s="102">
        <v>39780</v>
      </c>
    </row>
    <row r="35" spans="1:7" ht="15">
      <c r="A35" s="100" t="s">
        <v>458</v>
      </c>
      <c r="B35" s="100">
        <v>32</v>
      </c>
      <c r="C35" s="100">
        <v>11872735</v>
      </c>
      <c r="D35" s="100">
        <v>42941</v>
      </c>
      <c r="E35" s="100">
        <f t="shared" si="1"/>
        <v>11915676</v>
      </c>
      <c r="F35" s="101">
        <v>39785</v>
      </c>
      <c r="G35" s="102">
        <v>39787</v>
      </c>
    </row>
    <row r="36" spans="1:7" ht="15">
      <c r="A36" s="100" t="s">
        <v>459</v>
      </c>
      <c r="B36" s="100">
        <v>27</v>
      </c>
      <c r="C36" s="100">
        <v>23564915</v>
      </c>
      <c r="D36" s="100">
        <v>4145</v>
      </c>
      <c r="E36" s="100">
        <f t="shared" si="1"/>
        <v>23569060</v>
      </c>
      <c r="F36" s="101">
        <v>39794</v>
      </c>
      <c r="G36" s="102">
        <v>39799</v>
      </c>
    </row>
    <row r="37" spans="1:7" ht="15">
      <c r="A37" s="100" t="s">
        <v>460</v>
      </c>
      <c r="B37" s="100">
        <v>3</v>
      </c>
      <c r="C37" s="100">
        <v>16265250</v>
      </c>
      <c r="D37" s="100">
        <v>0</v>
      </c>
      <c r="E37" s="100">
        <f t="shared" si="1"/>
        <v>16265250</v>
      </c>
      <c r="F37" s="101">
        <v>39794</v>
      </c>
      <c r="G37" s="102">
        <v>39799</v>
      </c>
    </row>
    <row r="38" spans="1:7" ht="15">
      <c r="A38" s="100" t="s">
        <v>461</v>
      </c>
      <c r="B38" s="100">
        <v>2</v>
      </c>
      <c r="C38" s="100">
        <v>51068000</v>
      </c>
      <c r="D38" s="100">
        <v>0</v>
      </c>
      <c r="E38" s="100">
        <f t="shared" si="1"/>
        <v>51068000</v>
      </c>
      <c r="F38" s="101">
        <v>39799</v>
      </c>
      <c r="G38" s="102">
        <v>39800</v>
      </c>
    </row>
    <row r="39" spans="1:7" s="107" customFormat="1" ht="15">
      <c r="A39" s="104" t="s">
        <v>462</v>
      </c>
      <c r="B39" s="104">
        <v>1</v>
      </c>
      <c r="C39" s="104">
        <v>162753</v>
      </c>
      <c r="D39" s="104">
        <v>0</v>
      </c>
      <c r="E39" s="100">
        <f t="shared" si="1"/>
        <v>162753</v>
      </c>
      <c r="F39" s="105">
        <v>39800</v>
      </c>
      <c r="G39" s="106">
        <v>39800</v>
      </c>
    </row>
    <row r="40" spans="1:7" s="107" customFormat="1" ht="15">
      <c r="A40" s="108" t="s">
        <v>463</v>
      </c>
      <c r="B40" s="104">
        <v>0</v>
      </c>
      <c r="C40" s="104">
        <v>0</v>
      </c>
      <c r="D40" s="104">
        <v>0</v>
      </c>
      <c r="E40" s="100">
        <v>12917641</v>
      </c>
      <c r="F40" s="105" t="s">
        <v>464</v>
      </c>
      <c r="G40" s="106"/>
    </row>
    <row r="41" spans="1:7" ht="15">
      <c r="A41" s="108" t="s">
        <v>463</v>
      </c>
      <c r="B41" s="104">
        <v>0</v>
      </c>
      <c r="C41" s="104">
        <v>0</v>
      </c>
      <c r="D41" s="104">
        <v>0</v>
      </c>
      <c r="E41" s="100">
        <v>9790150</v>
      </c>
      <c r="F41" s="109" t="s">
        <v>465</v>
      </c>
      <c r="G41" s="110"/>
    </row>
    <row r="42" spans="1:7" ht="15">
      <c r="A42" s="108" t="s">
        <v>463</v>
      </c>
      <c r="B42" s="104">
        <v>0</v>
      </c>
      <c r="C42" s="104">
        <v>0</v>
      </c>
      <c r="D42" s="104">
        <v>0</v>
      </c>
      <c r="E42" s="100">
        <v>41837647</v>
      </c>
      <c r="F42" s="109" t="s">
        <v>466</v>
      </c>
      <c r="G42" s="110"/>
    </row>
    <row r="43" spans="1:7" ht="15">
      <c r="A43" s="108" t="s">
        <v>463</v>
      </c>
      <c r="B43" s="104">
        <v>0</v>
      </c>
      <c r="C43" s="104">
        <v>0</v>
      </c>
      <c r="D43" s="104">
        <v>0</v>
      </c>
      <c r="E43" s="100">
        <v>9913182</v>
      </c>
      <c r="F43" s="109" t="s">
        <v>467</v>
      </c>
      <c r="G43" s="110"/>
    </row>
    <row r="44" spans="1:7" ht="15">
      <c r="A44" s="108" t="s">
        <v>463</v>
      </c>
      <c r="B44" s="104">
        <v>0</v>
      </c>
      <c r="C44" s="104">
        <v>0</v>
      </c>
      <c r="D44" s="104">
        <v>0</v>
      </c>
      <c r="E44" s="100">
        <v>18371299</v>
      </c>
      <c r="F44" s="109" t="s">
        <v>468</v>
      </c>
      <c r="G44" s="110"/>
    </row>
    <row r="45" spans="1:7" ht="15">
      <c r="A45" s="108" t="s">
        <v>463</v>
      </c>
      <c r="B45" s="104">
        <v>0</v>
      </c>
      <c r="C45" s="104">
        <v>0</v>
      </c>
      <c r="D45" s="104">
        <v>0</v>
      </c>
      <c r="E45" s="100">
        <v>1058065</v>
      </c>
      <c r="F45" s="109" t="s">
        <v>469</v>
      </c>
      <c r="G45" s="110"/>
    </row>
    <row r="46" spans="1:7" ht="15">
      <c r="A46" s="108" t="s">
        <v>463</v>
      </c>
      <c r="B46" s="104">
        <v>0</v>
      </c>
      <c r="C46" s="104">
        <v>0</v>
      </c>
      <c r="D46" s="104">
        <v>0</v>
      </c>
      <c r="E46" s="100">
        <v>16884587</v>
      </c>
      <c r="F46" s="109" t="s">
        <v>470</v>
      </c>
      <c r="G46" s="110"/>
    </row>
    <row r="47" spans="1:7" ht="15">
      <c r="A47" s="108" t="s">
        <v>463</v>
      </c>
      <c r="B47" s="104">
        <v>0</v>
      </c>
      <c r="C47" s="104">
        <v>0</v>
      </c>
      <c r="D47" s="104">
        <v>0</v>
      </c>
      <c r="E47" s="100">
        <v>13948621</v>
      </c>
      <c r="F47" s="109" t="s">
        <v>471</v>
      </c>
      <c r="G47" s="110"/>
    </row>
    <row r="48" spans="1:7" ht="15.75">
      <c r="A48" s="111" t="s">
        <v>363</v>
      </c>
      <c r="B48" s="111">
        <f>SUM(B2:B47)</f>
        <v>948</v>
      </c>
      <c r="C48" s="111">
        <f>SUM(C2:C47)</f>
        <v>872548878</v>
      </c>
      <c r="D48" s="111">
        <f>SUM(D2:D47)</f>
        <v>739206</v>
      </c>
      <c r="E48" s="100">
        <f>SUM(E2:E47)</f>
        <v>997836577</v>
      </c>
      <c r="F48" s="112"/>
      <c r="G48" s="113"/>
    </row>
    <row r="49" spans="1:5" ht="15">
      <c r="A49" s="114"/>
      <c r="B49" s="114"/>
      <c r="C49" s="114"/>
      <c r="D49" s="114"/>
      <c r="E49" s="114"/>
    </row>
    <row r="50" spans="1:5" ht="15">
      <c r="A50" s="116" t="s">
        <v>472</v>
      </c>
      <c r="B50" s="114"/>
      <c r="C50" s="114"/>
      <c r="D50" s="114"/>
      <c r="E50" s="116">
        <f>E48</f>
        <v>997836577</v>
      </c>
    </row>
    <row r="51" spans="1:5" ht="15">
      <c r="A51" s="117" t="s">
        <v>473</v>
      </c>
      <c r="B51" s="114"/>
      <c r="C51" s="114"/>
      <c r="D51" s="114"/>
      <c r="E51" s="117">
        <f>E48-22521000-48299323</f>
        <v>927016254</v>
      </c>
    </row>
    <row r="52" spans="1:5" ht="15">
      <c r="A52" s="616" t="s">
        <v>474</v>
      </c>
      <c r="B52" s="617"/>
      <c r="C52" s="617"/>
      <c r="D52" s="617"/>
      <c r="E52" s="114">
        <v>34350702</v>
      </c>
    </row>
    <row r="53" spans="1:7" ht="15">
      <c r="A53" s="114" t="s">
        <v>475</v>
      </c>
      <c r="B53" s="114"/>
      <c r="C53" s="114"/>
      <c r="D53" s="114"/>
      <c r="E53" s="114">
        <v>13948621</v>
      </c>
      <c r="G53" s="107"/>
    </row>
    <row r="54" spans="1:5" ht="15">
      <c r="A54" s="114" t="s">
        <v>476</v>
      </c>
      <c r="B54" s="114"/>
      <c r="C54" s="114"/>
      <c r="D54" s="114"/>
      <c r="E54" s="114">
        <v>22521000</v>
      </c>
    </row>
    <row r="64" spans="4:6" ht="18">
      <c r="D64" s="119"/>
      <c r="F64" s="120"/>
    </row>
  </sheetData>
  <sheetProtection password="EE36" sheet="1" formatCells="0" formatColumns="0" formatRows="0" insertColumns="0" insertRows="0" insertHyperlinks="0" deleteColumns="0" deleteRows="0" sort="0" autoFilter="0" pivotTables="0"/>
  <mergeCells count="1">
    <mergeCell ref="A52:D52"/>
  </mergeCells>
  <printOptions/>
  <pageMargins left="0.75" right="0.75" top="1" bottom="1" header="0.5" footer="0.5"/>
  <pageSetup horizontalDpi="360" verticalDpi="360" orientation="portrait" paperSize="9" scale="85" r:id="rId1"/>
  <headerFooter alignWithMargins="0">
    <oddHeader>&amp;CÁllatkártalanítás
2008. év&amp;R5/b. sz.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Somogy MgSzH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Lajos</dc:creator>
  <cp:keywords/>
  <dc:description/>
  <cp:lastModifiedBy> </cp:lastModifiedBy>
  <cp:lastPrinted>2009-09-15T07:05:09Z</cp:lastPrinted>
  <dcterms:created xsi:type="dcterms:W3CDTF">2009-04-17T17:00:06Z</dcterms:created>
  <dcterms:modified xsi:type="dcterms:W3CDTF">2011-08-22T08:34:16Z</dcterms:modified>
  <cp:category/>
  <cp:version/>
  <cp:contentType/>
  <cp:contentStatus/>
</cp:coreProperties>
</file>